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AC8AB7-086B-4DE6-B4AD-F6CCAE692BB6}" xr6:coauthVersionLast="45" xr6:coauthVersionMax="45" xr10:uidLastSave="{00000000-0000-0000-0000-000000000000}"/>
  <bookViews>
    <workbookView xWindow="330" yWindow="375" windowWidth="23670" windowHeight="12600" xr2:uid="{91ABC349-022D-4B53-A247-6905BAEEE8F2}"/>
  </bookViews>
  <sheets>
    <sheet name="SHIPPING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4" i="1" l="1"/>
  <c r="W14" i="1"/>
  <c r="U14" i="1"/>
  <c r="N14" i="1"/>
  <c r="M14" i="1"/>
  <c r="L14" i="1"/>
  <c r="J14" i="1"/>
  <c r="G14" i="1"/>
  <c r="F14" i="1"/>
  <c r="E14" i="1"/>
  <c r="O14" i="1" s="1"/>
  <c r="C14" i="1"/>
  <c r="P14" i="1" s="1"/>
  <c r="Y13" i="1"/>
  <c r="W13" i="1"/>
  <c r="U13" i="1"/>
  <c r="P13" i="1"/>
  <c r="N13" i="1"/>
  <c r="M13" i="1"/>
  <c r="L13" i="1"/>
  <c r="J13" i="1"/>
  <c r="G13" i="1"/>
  <c r="F13" i="1"/>
  <c r="E13" i="1"/>
  <c r="O13" i="1" s="1"/>
  <c r="C13" i="1"/>
  <c r="Y12" i="1"/>
  <c r="W12" i="1"/>
  <c r="U12" i="1"/>
  <c r="N12" i="1"/>
  <c r="M12" i="1"/>
  <c r="L12" i="1"/>
  <c r="J12" i="1"/>
  <c r="G12" i="1"/>
  <c r="F12" i="1"/>
  <c r="O12" i="1" s="1"/>
  <c r="E12" i="1"/>
  <c r="C12" i="1"/>
  <c r="P12" i="1" s="1"/>
  <c r="Y11" i="1"/>
  <c r="W11" i="1"/>
  <c r="U11" i="1"/>
  <c r="N11" i="1"/>
  <c r="M11" i="1"/>
  <c r="L11" i="1"/>
  <c r="J11" i="1"/>
  <c r="G11" i="1"/>
  <c r="O11" i="1" s="1"/>
  <c r="F11" i="1"/>
  <c r="E11" i="1"/>
  <c r="C11" i="1"/>
  <c r="P11" i="1" s="1"/>
  <c r="Y10" i="1"/>
  <c r="W10" i="1"/>
  <c r="U10" i="1"/>
  <c r="L10" i="1"/>
  <c r="K10" i="1"/>
  <c r="J10" i="1"/>
  <c r="G10" i="1"/>
  <c r="O10" i="1" s="1"/>
  <c r="F10" i="1"/>
  <c r="E10" i="1"/>
  <c r="C10" i="1"/>
  <c r="P10" i="1" s="1"/>
  <c r="Y9" i="1"/>
  <c r="W9" i="1"/>
  <c r="U9" i="1"/>
  <c r="L9" i="1"/>
  <c r="K9" i="1"/>
  <c r="J9" i="1"/>
  <c r="G9" i="1"/>
  <c r="O9" i="1" s="1"/>
  <c r="F9" i="1"/>
  <c r="E9" i="1"/>
  <c r="C9" i="1"/>
  <c r="P9" i="1" s="1"/>
  <c r="Y8" i="1"/>
  <c r="W8" i="1"/>
  <c r="U8" i="1"/>
  <c r="P8" i="1"/>
  <c r="N8" i="1"/>
  <c r="M8" i="1"/>
  <c r="L8" i="1"/>
  <c r="K8" i="1"/>
  <c r="J8" i="1"/>
  <c r="G8" i="1"/>
  <c r="F8" i="1"/>
  <c r="E8" i="1"/>
  <c r="O8" i="1" s="1"/>
  <c r="C8" i="1"/>
  <c r="Y7" i="1"/>
  <c r="W7" i="1"/>
  <c r="U7" i="1"/>
  <c r="N7" i="1"/>
  <c r="M7" i="1"/>
  <c r="L7" i="1"/>
  <c r="K7" i="1"/>
  <c r="J7" i="1"/>
  <c r="G7" i="1"/>
  <c r="F7" i="1"/>
  <c r="E7" i="1"/>
  <c r="O7" i="1" s="1"/>
  <c r="C7" i="1"/>
  <c r="P7" i="1" s="1"/>
  <c r="Y6" i="1"/>
  <c r="W6" i="1"/>
  <c r="U6" i="1"/>
  <c r="P6" i="1"/>
  <c r="N6" i="1"/>
  <c r="M6" i="1"/>
  <c r="L6" i="1"/>
  <c r="K6" i="1"/>
  <c r="J6" i="1"/>
  <c r="G6" i="1"/>
  <c r="F6" i="1"/>
  <c r="E6" i="1"/>
  <c r="O6" i="1" s="1"/>
  <c r="C6" i="1"/>
  <c r="Y5" i="1"/>
  <c r="W5" i="1"/>
  <c r="U5" i="1"/>
  <c r="N5" i="1"/>
  <c r="M5" i="1"/>
  <c r="L5" i="1"/>
  <c r="K5" i="1"/>
  <c r="J5" i="1"/>
  <c r="G5" i="1"/>
  <c r="F5" i="1"/>
  <c r="E5" i="1"/>
  <c r="O5" i="1" s="1"/>
  <c r="C5" i="1"/>
  <c r="P5" i="1" s="1"/>
  <c r="Y4" i="1"/>
  <c r="W4" i="1"/>
  <c r="U4" i="1"/>
  <c r="N4" i="1"/>
  <c r="M4" i="1"/>
  <c r="K4" i="1"/>
  <c r="J4" i="1"/>
  <c r="G4" i="1"/>
  <c r="F4" i="1"/>
  <c r="E4" i="1"/>
  <c r="O4" i="1" s="1"/>
  <c r="C4" i="1"/>
  <c r="P4" i="1" s="1"/>
  <c r="Y3" i="1"/>
  <c r="W3" i="1"/>
  <c r="U3" i="1"/>
  <c r="P3" i="1"/>
  <c r="N3" i="1"/>
  <c r="M3" i="1"/>
  <c r="K3" i="1"/>
  <c r="J3" i="1"/>
  <c r="G3" i="1"/>
  <c r="F3" i="1"/>
  <c r="E3" i="1"/>
  <c r="O3" i="1" s="1"/>
  <c r="C3" i="1"/>
</calcChain>
</file>

<file path=xl/sharedStrings.xml><?xml version="1.0" encoding="utf-8"?>
<sst xmlns="http://schemas.openxmlformats.org/spreadsheetml/2006/main" count="114" uniqueCount="48">
  <si>
    <t>CODE</t>
    <phoneticPr fontId="3" type="noConversion"/>
  </si>
  <si>
    <t>DESC</t>
    <phoneticPr fontId="3" type="noConversion"/>
  </si>
  <si>
    <t>Q'TY</t>
    <phoneticPr fontId="3" type="noConversion"/>
  </si>
  <si>
    <t>UNIT</t>
    <phoneticPr fontId="3" type="noConversion"/>
  </si>
  <si>
    <t>SIZE ( EA )</t>
    <phoneticPr fontId="3" type="noConversion"/>
  </si>
  <si>
    <t>WEIGHT BY EA</t>
    <phoneticPr fontId="3" type="noConversion"/>
  </si>
  <si>
    <t>SIZE ( BUNDLE )</t>
    <phoneticPr fontId="3" type="noConversion"/>
  </si>
  <si>
    <t>WEIGHT BY BUNDLE</t>
    <phoneticPr fontId="3" type="noConversion"/>
  </si>
  <si>
    <t>CARGO CBM</t>
    <phoneticPr fontId="3" type="noConversion"/>
  </si>
  <si>
    <t>PAKAGE</t>
    <phoneticPr fontId="3" type="noConversion"/>
  </si>
  <si>
    <t>QUANTITY
BUNDLE</t>
    <phoneticPr fontId="3" type="noConversion"/>
  </si>
  <si>
    <t>CTNR
40HC'</t>
    <phoneticPr fontId="3" type="noConversion"/>
  </si>
  <si>
    <t>CTNR
20DC'</t>
    <phoneticPr fontId="3" type="noConversion"/>
  </si>
  <si>
    <t>CTNR 40HC' L*W*H (Cm)</t>
    <phoneticPr fontId="3" type="noConversion"/>
  </si>
  <si>
    <t>CTNR 40DC' L*W*H (Cm)</t>
    <phoneticPr fontId="3" type="noConversion"/>
  </si>
  <si>
    <t>CTNR 20DC' L*W*H (Cm)</t>
    <phoneticPr fontId="3" type="noConversion"/>
  </si>
  <si>
    <t>REMARK</t>
    <phoneticPr fontId="3" type="noConversion"/>
  </si>
  <si>
    <t>L (cm)</t>
    <phoneticPr fontId="3" type="noConversion"/>
  </si>
  <si>
    <t>W (cm)</t>
    <phoneticPr fontId="3" type="noConversion"/>
  </si>
  <si>
    <t>H (cm)</t>
    <phoneticPr fontId="3" type="noConversion"/>
  </si>
  <si>
    <t>N.W (kgs)</t>
    <phoneticPr fontId="3" type="noConversion"/>
  </si>
  <si>
    <t>G.W (kgs)</t>
    <phoneticPr fontId="3" type="noConversion"/>
  </si>
  <si>
    <t>SIZE</t>
    <phoneticPr fontId="3" type="noConversion"/>
  </si>
  <si>
    <t>CBM</t>
    <phoneticPr fontId="3" type="noConversion"/>
  </si>
  <si>
    <t>7405V1</t>
    <phoneticPr fontId="3" type="noConversion"/>
  </si>
  <si>
    <t>CRABBIE SANDBOX</t>
    <phoneticPr fontId="3" type="noConversion"/>
  </si>
  <si>
    <t>EA</t>
    <phoneticPr fontId="3" type="noConversion"/>
  </si>
  <si>
    <t>1200*233*269</t>
    <phoneticPr fontId="3" type="noConversion"/>
  </si>
  <si>
    <t>1200*233*238</t>
    <phoneticPr fontId="3" type="noConversion"/>
  </si>
  <si>
    <t>589*233*238</t>
    <phoneticPr fontId="3" type="noConversion"/>
  </si>
  <si>
    <t>7405V9</t>
    <phoneticPr fontId="3" type="noConversion"/>
  </si>
  <si>
    <t>4872V1</t>
    <phoneticPr fontId="3" type="noConversion"/>
  </si>
  <si>
    <t>RAIN SHOWER UNICORNS</t>
    <phoneticPr fontId="3" type="noConversion"/>
  </si>
  <si>
    <t>4872V9</t>
    <phoneticPr fontId="3" type="noConversion"/>
  </si>
  <si>
    <t>8746V1</t>
    <phoneticPr fontId="3" type="noConversion"/>
  </si>
  <si>
    <t>RAIN SHOWER SPLASH POND</t>
    <phoneticPr fontId="3" type="noConversion"/>
  </si>
  <si>
    <t>8746V9</t>
    <phoneticPr fontId="3" type="noConversion"/>
  </si>
  <si>
    <t>4931V1</t>
    <phoneticPr fontId="3" type="noConversion"/>
  </si>
  <si>
    <t>TROPICAL RAINFOREST</t>
    <phoneticPr fontId="3" type="noConversion"/>
  </si>
  <si>
    <t>N/A</t>
    <phoneticPr fontId="3" type="noConversion"/>
  </si>
  <si>
    <t>still not in production</t>
    <phoneticPr fontId="3" type="noConversion"/>
  </si>
  <si>
    <t>4931V9</t>
    <phoneticPr fontId="3" type="noConversion"/>
  </si>
  <si>
    <t>8666V1</t>
    <phoneticPr fontId="3" type="noConversion"/>
  </si>
  <si>
    <t>WHISPER RIDER (PINK)</t>
    <phoneticPr fontId="3" type="noConversion"/>
  </si>
  <si>
    <t>8666V9</t>
    <phoneticPr fontId="3" type="noConversion"/>
  </si>
  <si>
    <t>8669V1</t>
    <phoneticPr fontId="3" type="noConversion"/>
  </si>
  <si>
    <t>WHISPER RIDER (BLUE)</t>
    <phoneticPr fontId="3" type="noConversion"/>
  </si>
  <si>
    <t>8669V9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</si>
</sst>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?_-;_-@_-"/>
    <numFmt numFmtId="178" formatCode="0.0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8"/>
      <color theme="1"/>
      <name val="맑은 고딕"/>
      <family val="2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2"/>
      <scheme val="minor"/>
    </font>
    <font>
      <b/>
      <sz val="11"/>
      <color theme="1"/>
      <name val="맑은 고딕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/>
      <top style="thick">
        <color rgb="FFFFC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77" fontId="5" fillId="5" borderId="1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176" fontId="8" fillId="0" borderId="1" xfId="1" applyNumberFormat="1" applyFont="1" applyBorder="1">
      <alignment vertical="center"/>
    </xf>
    <xf numFmtId="178" fontId="0" fillId="3" borderId="1" xfId="0" applyNumberFormat="1" applyFill="1" applyBorder="1">
      <alignment vertical="center"/>
    </xf>
    <xf numFmtId="43" fontId="0" fillId="3" borderId="1" xfId="1" applyFont="1" applyFill="1" applyBorder="1" applyAlignment="1">
      <alignment horizontal="right" vertical="center"/>
    </xf>
    <xf numFmtId="1" fontId="0" fillId="4" borderId="4" xfId="0" applyNumberFormat="1" applyFill="1" applyBorder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43" fontId="0" fillId="4" borderId="1" xfId="1" applyFont="1" applyFill="1" applyBorder="1" applyAlignment="1">
      <alignment horizontal="right" vertical="center"/>
    </xf>
    <xf numFmtId="177" fontId="0" fillId="5" borderId="1" xfId="1" applyNumberFormat="1" applyFont="1" applyFill="1" applyBorder="1">
      <alignment vertical="center"/>
    </xf>
    <xf numFmtId="176" fontId="0" fillId="0" borderId="4" xfId="1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12" xfId="0" applyFont="1" applyBorder="1">
      <alignment vertical="center"/>
    </xf>
    <xf numFmtId="0" fontId="0" fillId="6" borderId="4" xfId="0" applyFill="1" applyBorder="1">
      <alignment vertical="center"/>
    </xf>
    <xf numFmtId="178" fontId="0" fillId="6" borderId="3" xfId="0" applyNumberFormat="1" applyFill="1" applyBorder="1">
      <alignment vertical="center"/>
    </xf>
    <xf numFmtId="0" fontId="0" fillId="7" borderId="1" xfId="0" applyFill="1" applyBorder="1">
      <alignment vertical="center"/>
    </xf>
    <xf numFmtId="178" fontId="0" fillId="7" borderId="1" xfId="0" applyNumberFormat="1" applyFill="1" applyBorder="1">
      <alignment vertical="center"/>
    </xf>
    <xf numFmtId="0" fontId="0" fillId="8" borderId="1" xfId="0" applyFill="1" applyBorder="1">
      <alignment vertical="center"/>
    </xf>
    <xf numFmtId="178" fontId="0" fillId="8" borderId="1" xfId="0" applyNumberFormat="1" applyFill="1" applyBorder="1">
      <alignment vertical="center"/>
    </xf>
    <xf numFmtId="0" fontId="0" fillId="0" borderId="4" xfId="0" applyBorder="1">
      <alignment vertical="center"/>
    </xf>
    <xf numFmtId="0" fontId="0" fillId="3" borderId="1" xfId="0" applyFill="1" applyBorder="1">
      <alignment vertical="center"/>
    </xf>
    <xf numFmtId="2" fontId="0" fillId="3" borderId="1" xfId="0" applyNumberFormat="1" applyFill="1" applyBorder="1" applyAlignment="1">
      <alignment horizontal="right" vertical="center"/>
    </xf>
    <xf numFmtId="0" fontId="0" fillId="4" borderId="4" xfId="0" applyFill="1" applyBorder="1">
      <alignment vertical="center"/>
    </xf>
    <xf numFmtId="1" fontId="0" fillId="4" borderId="1" xfId="0" applyNumberFormat="1" applyFill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2" fontId="0" fillId="4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178" fontId="0" fillId="3" borderId="5" xfId="0" applyNumberFormat="1" applyFill="1" applyBorder="1">
      <alignment vertical="center"/>
    </xf>
    <xf numFmtId="0" fontId="0" fillId="3" borderId="5" xfId="0" applyFill="1" applyBorder="1">
      <alignment vertical="center"/>
    </xf>
    <xf numFmtId="0" fontId="0" fillId="4" borderId="15" xfId="0" applyFill="1" applyBorder="1">
      <alignment vertical="center"/>
    </xf>
    <xf numFmtId="0" fontId="0" fillId="4" borderId="5" xfId="0" applyFill="1" applyBorder="1">
      <alignment vertical="center"/>
    </xf>
    <xf numFmtId="0" fontId="0" fillId="4" borderId="16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>
      <alignment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176" fontId="0" fillId="0" borderId="0" xfId="1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1" applyNumberFormat="1" applyFont="1">
      <alignment vertical="center"/>
    </xf>
  </cellXfs>
  <cellStyles count="2">
    <cellStyle name="쉼표" xfId="1" builtin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HNNY/EXIM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"/>
      <sheetName val="COMPONENT STOCK"/>
      <sheetName val="OUTPUT"/>
      <sheetName val="PRODUCTION"/>
      <sheetName val="NG SHEET"/>
      <sheetName val="DETAIL"/>
      <sheetName val="SHIPPING"/>
      <sheetName val="CARTON BALANCE"/>
      <sheetName val="CARTON STOCK"/>
      <sheetName val="CARTON PO"/>
      <sheetName val="CARTON DELIVERY"/>
      <sheetName val="EXPORT SCHEDULE"/>
      <sheetName val="WORK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 xml:space="preserve">Item No </v>
          </cell>
          <cell r="D2" t="str">
            <v>출하수량</v>
          </cell>
        </row>
        <row r="3">
          <cell r="B3" t="str">
            <v>4872V9</v>
          </cell>
          <cell r="D3">
            <v>485</v>
          </cell>
        </row>
        <row r="5">
          <cell r="B5" t="str">
            <v>7405V9</v>
          </cell>
          <cell r="D5">
            <v>60</v>
          </cell>
        </row>
        <row r="6">
          <cell r="B6" t="str">
            <v>8666V9</v>
          </cell>
          <cell r="D6">
            <v>30</v>
          </cell>
        </row>
        <row r="7">
          <cell r="B7" t="str">
            <v>8669V9</v>
          </cell>
          <cell r="D7">
            <v>30</v>
          </cell>
        </row>
        <row r="8">
          <cell r="B8" t="str">
            <v>8746V9</v>
          </cell>
          <cell r="D8">
            <v>250</v>
          </cell>
        </row>
        <row r="10">
          <cell r="B10" t="str">
            <v>4872V9</v>
          </cell>
          <cell r="D10">
            <v>485</v>
          </cell>
        </row>
        <row r="12">
          <cell r="B12" t="str">
            <v>4872V9</v>
          </cell>
          <cell r="D12">
            <v>485</v>
          </cell>
        </row>
        <row r="14">
          <cell r="B14" t="str">
            <v>7114V9</v>
          </cell>
          <cell r="D14">
            <v>100</v>
          </cell>
        </row>
        <row r="15">
          <cell r="B15" t="str">
            <v>8633V9</v>
          </cell>
          <cell r="D15">
            <v>120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A158-EE2A-4306-8B9A-371681000D63}">
  <dimension ref="A1:Z15"/>
  <sheetViews>
    <sheetView showGridLines="0" tabSelected="1" topLeftCell="C1" zoomScale="90" zoomScaleNormal="90" workbookViewId="0">
      <selection activeCell="V6" sqref="V6"/>
    </sheetView>
  </sheetViews>
  <sheetFormatPr defaultRowHeight="16.5"/>
  <cols>
    <col min="1" max="1" width="6.625" bestFit="1" customWidth="1"/>
    <col min="2" max="2" width="22.625" bestFit="1" customWidth="1"/>
    <col min="3" max="3" width="6.625" style="76" bestFit="1" customWidth="1"/>
    <col min="4" max="4" width="5.875" style="77" bestFit="1" customWidth="1"/>
    <col min="5" max="5" width="6.5" bestFit="1" customWidth="1"/>
    <col min="6" max="6" width="7.375" bestFit="1" customWidth="1"/>
    <col min="7" max="7" width="6.875" bestFit="1" customWidth="1"/>
    <col min="8" max="8" width="9.75" style="78" bestFit="1" customWidth="1"/>
    <col min="9" max="9" width="9.625" style="78" bestFit="1" customWidth="1"/>
    <col min="10" max="10" width="6.5" bestFit="1" customWidth="1"/>
    <col min="11" max="11" width="7.375" bestFit="1" customWidth="1"/>
    <col min="12" max="12" width="6.875" bestFit="1" customWidth="1"/>
    <col min="13" max="13" width="9.75" style="78" bestFit="1" customWidth="1"/>
    <col min="14" max="14" width="9.625" style="78" bestFit="1" customWidth="1"/>
    <col min="15" max="15" width="6.625" style="79" customWidth="1"/>
    <col min="16" max="16" width="8" bestFit="1" customWidth="1"/>
    <col min="17" max="17" width="8.75" bestFit="1" customWidth="1"/>
    <col min="18" max="19" width="8.875" customWidth="1"/>
    <col min="20" max="20" width="13.5" bestFit="1" customWidth="1"/>
    <col min="21" max="21" width="5.5" bestFit="1" customWidth="1"/>
    <col min="22" max="22" width="13.5" bestFit="1" customWidth="1"/>
    <col min="23" max="23" width="5.5" bestFit="1" customWidth="1"/>
    <col min="24" max="24" width="12.375" bestFit="1" customWidth="1"/>
    <col min="25" max="25" width="5.5" bestFit="1" customWidth="1"/>
    <col min="26" max="26" width="21.375" bestFit="1" customWidth="1"/>
  </cols>
  <sheetData>
    <row r="1" spans="1:26" s="20" customFormat="1" ht="14.25" customHeight="1" thickTop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6" t="s">
        <v>5</v>
      </c>
      <c r="I1" s="7"/>
      <c r="J1" s="8" t="s">
        <v>6</v>
      </c>
      <c r="K1" s="8"/>
      <c r="L1" s="8"/>
      <c r="M1" s="9" t="s">
        <v>7</v>
      </c>
      <c r="N1" s="10"/>
      <c r="O1" s="11" t="s">
        <v>8</v>
      </c>
      <c r="P1" s="12" t="s">
        <v>9</v>
      </c>
      <c r="Q1" s="13" t="s">
        <v>10</v>
      </c>
      <c r="R1" s="14" t="s">
        <v>11</v>
      </c>
      <c r="S1" s="15" t="s">
        <v>12</v>
      </c>
      <c r="T1" s="16" t="s">
        <v>13</v>
      </c>
      <c r="U1" s="17"/>
      <c r="V1" s="18" t="s">
        <v>14</v>
      </c>
      <c r="W1" s="18"/>
      <c r="X1" s="19" t="s">
        <v>15</v>
      </c>
      <c r="Y1" s="19"/>
      <c r="Z1" s="12" t="s">
        <v>16</v>
      </c>
    </row>
    <row r="2" spans="1:26" s="20" customFormat="1" ht="16.5" customHeight="1">
      <c r="A2" s="1"/>
      <c r="B2" s="1"/>
      <c r="C2" s="2"/>
      <c r="D2" s="1"/>
      <c r="E2" s="21" t="s">
        <v>17</v>
      </c>
      <c r="F2" s="21" t="s">
        <v>18</v>
      </c>
      <c r="G2" s="22" t="s">
        <v>19</v>
      </c>
      <c r="H2" s="23" t="s">
        <v>20</v>
      </c>
      <c r="I2" s="22" t="s">
        <v>21</v>
      </c>
      <c r="J2" s="24" t="s">
        <v>17</v>
      </c>
      <c r="K2" s="24" t="s">
        <v>18</v>
      </c>
      <c r="L2" s="25" t="s">
        <v>19</v>
      </c>
      <c r="M2" s="26" t="s">
        <v>20</v>
      </c>
      <c r="N2" s="25" t="s">
        <v>21</v>
      </c>
      <c r="O2" s="11"/>
      <c r="P2" s="12"/>
      <c r="Q2" s="27"/>
      <c r="R2" s="28"/>
      <c r="S2" s="29"/>
      <c r="T2" s="30" t="s">
        <v>22</v>
      </c>
      <c r="U2" s="31" t="s">
        <v>23</v>
      </c>
      <c r="V2" s="32" t="s">
        <v>22</v>
      </c>
      <c r="W2" s="32" t="s">
        <v>23</v>
      </c>
      <c r="X2" s="33" t="s">
        <v>22</v>
      </c>
      <c r="Y2" s="33" t="s">
        <v>23</v>
      </c>
      <c r="Z2" s="12"/>
    </row>
    <row r="3" spans="1:26" ht="45" customHeight="1">
      <c r="A3" s="34" t="s">
        <v>24</v>
      </c>
      <c r="B3" s="35" t="s">
        <v>25</v>
      </c>
      <c r="C3" s="36">
        <f>SUMIFS('[1]EXPORT SCHEDULE'!$D:$D,'[1]EXPORT SCHEDULE'!$B:$B,SHIPPING!A3)</f>
        <v>0</v>
      </c>
      <c r="D3" s="34" t="s">
        <v>26</v>
      </c>
      <c r="E3" s="37">
        <f>118</f>
        <v>118</v>
      </c>
      <c r="F3" s="37">
        <f>157/6</f>
        <v>26.166666666666668</v>
      </c>
      <c r="G3" s="37">
        <f>119</f>
        <v>119</v>
      </c>
      <c r="H3" s="38">
        <v>8.0079999999999991</v>
      </c>
      <c r="I3" s="38">
        <v>11.084333333333333</v>
      </c>
      <c r="J3" s="39">
        <f>118</f>
        <v>118</v>
      </c>
      <c r="K3" s="40">
        <f>157</f>
        <v>157</v>
      </c>
      <c r="L3" s="41">
        <v>119</v>
      </c>
      <c r="M3" s="42">
        <f>8.008*Q3</f>
        <v>48.047999999999995</v>
      </c>
      <c r="N3" s="42">
        <f>11.0843333333333*Q3</f>
        <v>66.505999999999801</v>
      </c>
      <c r="O3" s="43">
        <f>((E3*F3*G3)/1000000)*C3</f>
        <v>0</v>
      </c>
      <c r="P3" s="44">
        <f>C3/Q3</f>
        <v>0</v>
      </c>
      <c r="Q3" s="45">
        <v>6</v>
      </c>
      <c r="R3" s="46"/>
      <c r="S3" s="47"/>
      <c r="T3" s="48" t="s">
        <v>27</v>
      </c>
      <c r="U3" s="49">
        <f>(LEFT(T3,4))*(MID(T3,6,3))*(RIGHT(T3,3))/1000000</f>
        <v>75.212400000000002</v>
      </c>
      <c r="V3" s="50" t="s">
        <v>28</v>
      </c>
      <c r="W3" s="51">
        <f>(LEFT(V3,4))*(MID(V3,6,3))*(RIGHT(V3,3))/1000000</f>
        <v>66.544799999999995</v>
      </c>
      <c r="X3" s="52" t="s">
        <v>29</v>
      </c>
      <c r="Y3" s="53">
        <f>(LEFT(X3,3))*(MID(X3,5,3))*(RIGHT(X3,3))/1000000</f>
        <v>32.662405999999997</v>
      </c>
      <c r="Z3" s="54"/>
    </row>
    <row r="4" spans="1:26" ht="45" customHeight="1">
      <c r="A4" s="34" t="s">
        <v>30</v>
      </c>
      <c r="B4" s="35" t="s">
        <v>25</v>
      </c>
      <c r="C4" s="36">
        <f>SUMIFS('[1]EXPORT SCHEDULE'!$D:$D,'[1]EXPORT SCHEDULE'!$B:$B,SHIPPING!A4)</f>
        <v>60</v>
      </c>
      <c r="D4" s="34" t="s">
        <v>26</v>
      </c>
      <c r="E4" s="37">
        <f>118</f>
        <v>118</v>
      </c>
      <c r="F4" s="37">
        <f>157/6</f>
        <v>26.166666666666668</v>
      </c>
      <c r="G4" s="37">
        <f>119</f>
        <v>119</v>
      </c>
      <c r="H4" s="38">
        <v>8.0080000000000009</v>
      </c>
      <c r="I4" s="38">
        <v>11.084333333333333</v>
      </c>
      <c r="J4" s="39">
        <f>118</f>
        <v>118</v>
      </c>
      <c r="K4" s="40">
        <f>157</f>
        <v>157</v>
      </c>
      <c r="L4" s="41">
        <v>119</v>
      </c>
      <c r="M4" s="42">
        <f t="shared" ref="M4:M8" si="0">8.008*Q4</f>
        <v>48.047999999999995</v>
      </c>
      <c r="N4" s="42">
        <f t="shared" ref="N4:N7" si="1">11.0843333333333*Q4</f>
        <v>66.505999999999801</v>
      </c>
      <c r="O4" s="43">
        <f t="shared" ref="O4:O14" si="2">((E4*F4*G4)/1000000)*C4</f>
        <v>22.045940000000002</v>
      </c>
      <c r="P4" s="44">
        <f>C4/Q4</f>
        <v>10</v>
      </c>
      <c r="Q4" s="45">
        <v>6</v>
      </c>
      <c r="R4" s="46"/>
      <c r="S4" s="47"/>
      <c r="T4" s="48" t="s">
        <v>27</v>
      </c>
      <c r="U4" s="49">
        <f t="shared" ref="U4:U14" si="3">(LEFT(T4,4))*(MID(T4,6,3))*(RIGHT(T4,3))/1000000</f>
        <v>75.212400000000002</v>
      </c>
      <c r="V4" s="50" t="s">
        <v>28</v>
      </c>
      <c r="W4" s="51">
        <f t="shared" ref="W4:W14" si="4">(LEFT(V4,4))*(MID(V4,6,3))*(RIGHT(V4,3))/1000000</f>
        <v>66.544799999999995</v>
      </c>
      <c r="X4" s="52" t="s">
        <v>29</v>
      </c>
      <c r="Y4" s="53">
        <f t="shared" ref="Y4:Y14" si="5">(LEFT(X4,3))*(MID(X4,5,3))*(RIGHT(X4,3))/1000000</f>
        <v>32.662405999999997</v>
      </c>
      <c r="Z4" s="54"/>
    </row>
    <row r="5" spans="1:26" ht="45" customHeight="1">
      <c r="A5" s="34" t="s">
        <v>31</v>
      </c>
      <c r="B5" s="35" t="s">
        <v>32</v>
      </c>
      <c r="C5" s="36">
        <f>SUMIFS('[1]EXPORT SCHEDULE'!$D:$D,'[1]EXPORT SCHEDULE'!$B:$B,SHIPPING!A5)</f>
        <v>0</v>
      </c>
      <c r="D5" s="34" t="s">
        <v>26</v>
      </c>
      <c r="E5" s="55">
        <f>113/2</f>
        <v>56.5</v>
      </c>
      <c r="F5" s="37">
        <f>102.8/4</f>
        <v>25.7</v>
      </c>
      <c r="G5" s="55">
        <f>189/2</f>
        <v>94.5</v>
      </c>
      <c r="H5" s="56">
        <v>6.25</v>
      </c>
      <c r="I5" s="56">
        <v>7.5579999999999998</v>
      </c>
      <c r="J5" s="57">
        <f t="shared" ref="J5:J10" si="6">56.5*2</f>
        <v>113</v>
      </c>
      <c r="K5" s="58">
        <f t="shared" ref="K5:K10" si="7">25.7*4</f>
        <v>102.8</v>
      </c>
      <c r="L5" s="41">
        <f t="shared" ref="L5:L10" si="8">94.5*2</f>
        <v>189</v>
      </c>
      <c r="M5" s="42">
        <f t="shared" si="0"/>
        <v>128.12799999999999</v>
      </c>
      <c r="N5" s="42">
        <f t="shared" si="1"/>
        <v>177.34933333333279</v>
      </c>
      <c r="O5" s="43">
        <f t="shared" si="2"/>
        <v>0</v>
      </c>
      <c r="P5" s="44">
        <f t="shared" ref="P5:P14" si="9">C5/Q5</f>
        <v>0</v>
      </c>
      <c r="Q5" s="45">
        <v>16</v>
      </c>
      <c r="R5" s="59"/>
      <c r="S5" s="60"/>
      <c r="T5" s="48" t="s">
        <v>27</v>
      </c>
      <c r="U5" s="49">
        <f t="shared" si="3"/>
        <v>75.212400000000002</v>
      </c>
      <c r="V5" s="50" t="s">
        <v>28</v>
      </c>
      <c r="W5" s="51">
        <f t="shared" si="4"/>
        <v>66.544799999999995</v>
      </c>
      <c r="X5" s="52" t="s">
        <v>29</v>
      </c>
      <c r="Y5" s="53">
        <f t="shared" si="5"/>
        <v>32.662405999999997</v>
      </c>
      <c r="Z5" s="54"/>
    </row>
    <row r="6" spans="1:26" ht="45" customHeight="1">
      <c r="A6" s="34" t="s">
        <v>33</v>
      </c>
      <c r="B6" s="35" t="s">
        <v>32</v>
      </c>
      <c r="C6" s="36">
        <f>SUMIFS('[1]EXPORT SCHEDULE'!$D:$D,'[1]EXPORT SCHEDULE'!$B:$B,SHIPPING!A6)</f>
        <v>1455</v>
      </c>
      <c r="D6" s="34" t="s">
        <v>26</v>
      </c>
      <c r="E6" s="55">
        <f>113/2</f>
        <v>56.5</v>
      </c>
      <c r="F6" s="37">
        <f>102.8/4</f>
        <v>25.7</v>
      </c>
      <c r="G6" s="55">
        <f>189/2</f>
        <v>94.5</v>
      </c>
      <c r="H6" s="56">
        <v>6.25</v>
      </c>
      <c r="I6" s="56">
        <v>7.5579999999999998</v>
      </c>
      <c r="J6" s="57">
        <f t="shared" si="6"/>
        <v>113</v>
      </c>
      <c r="K6" s="58">
        <f t="shared" si="7"/>
        <v>102.8</v>
      </c>
      <c r="L6" s="41">
        <f t="shared" si="8"/>
        <v>189</v>
      </c>
      <c r="M6" s="42">
        <f t="shared" si="0"/>
        <v>128.12799999999999</v>
      </c>
      <c r="N6" s="42">
        <f t="shared" si="1"/>
        <v>177.34933333333279</v>
      </c>
      <c r="O6" s="43">
        <f t="shared" si="2"/>
        <v>199.65324487500001</v>
      </c>
      <c r="P6" s="44">
        <f t="shared" si="9"/>
        <v>90.9375</v>
      </c>
      <c r="Q6" s="45">
        <v>16</v>
      </c>
      <c r="R6" s="59"/>
      <c r="S6" s="60"/>
      <c r="T6" s="48" t="s">
        <v>27</v>
      </c>
      <c r="U6" s="49">
        <f t="shared" si="3"/>
        <v>75.212400000000002</v>
      </c>
      <c r="V6" s="50" t="s">
        <v>28</v>
      </c>
      <c r="W6" s="51">
        <f t="shared" si="4"/>
        <v>66.544799999999995</v>
      </c>
      <c r="X6" s="52" t="s">
        <v>29</v>
      </c>
      <c r="Y6" s="53">
        <f t="shared" si="5"/>
        <v>32.662405999999997</v>
      </c>
      <c r="Z6" s="61"/>
    </row>
    <row r="7" spans="1:26" ht="45" customHeight="1">
      <c r="A7" s="34" t="s">
        <v>34</v>
      </c>
      <c r="B7" s="35" t="s">
        <v>35</v>
      </c>
      <c r="C7" s="36">
        <f>SUMIFS('[1]EXPORT SCHEDULE'!$D:$D,'[1]EXPORT SCHEDULE'!$B:$B,SHIPPING!A7)</f>
        <v>0</v>
      </c>
      <c r="D7" s="34" t="s">
        <v>26</v>
      </c>
      <c r="E7" s="55">
        <f t="shared" ref="E7:E10" si="10">113/2</f>
        <v>56.5</v>
      </c>
      <c r="F7" s="37">
        <f t="shared" ref="F7:F10" si="11">102.8/4</f>
        <v>25.7</v>
      </c>
      <c r="G7" s="55">
        <f t="shared" ref="G7:G8" si="12">189/2</f>
        <v>94.5</v>
      </c>
      <c r="H7" s="56">
        <v>6.1580000000000004</v>
      </c>
      <c r="I7" s="56">
        <v>7.4939999999999998</v>
      </c>
      <c r="J7" s="57">
        <f t="shared" si="6"/>
        <v>113</v>
      </c>
      <c r="K7" s="58">
        <f t="shared" si="7"/>
        <v>102.8</v>
      </c>
      <c r="L7" s="41">
        <f t="shared" si="8"/>
        <v>189</v>
      </c>
      <c r="M7" s="42">
        <f t="shared" si="0"/>
        <v>128.12799999999999</v>
      </c>
      <c r="N7" s="42">
        <f t="shared" si="1"/>
        <v>177.34933333333279</v>
      </c>
      <c r="O7" s="43">
        <f t="shared" si="2"/>
        <v>0</v>
      </c>
      <c r="P7" s="44">
        <f t="shared" si="9"/>
        <v>0</v>
      </c>
      <c r="Q7" s="45">
        <v>16</v>
      </c>
      <c r="R7" s="59"/>
      <c r="S7" s="60"/>
      <c r="T7" s="48" t="s">
        <v>27</v>
      </c>
      <c r="U7" s="49">
        <f t="shared" si="3"/>
        <v>75.212400000000002</v>
      </c>
      <c r="V7" s="50" t="s">
        <v>28</v>
      </c>
      <c r="W7" s="51">
        <f t="shared" si="4"/>
        <v>66.544799999999995</v>
      </c>
      <c r="X7" s="52" t="s">
        <v>29</v>
      </c>
      <c r="Y7" s="53">
        <f t="shared" si="5"/>
        <v>32.662405999999997</v>
      </c>
      <c r="Z7" s="54"/>
    </row>
    <row r="8" spans="1:26" ht="45" customHeight="1">
      <c r="A8" s="34" t="s">
        <v>36</v>
      </c>
      <c r="B8" s="35" t="s">
        <v>35</v>
      </c>
      <c r="C8" s="36">
        <f>SUMIFS('[1]EXPORT SCHEDULE'!$D:$D,'[1]EXPORT SCHEDULE'!$B:$B,SHIPPING!A8)</f>
        <v>250</v>
      </c>
      <c r="D8" s="34" t="s">
        <v>26</v>
      </c>
      <c r="E8" s="55">
        <f t="shared" si="10"/>
        <v>56.5</v>
      </c>
      <c r="F8" s="37">
        <f t="shared" si="11"/>
        <v>25.7</v>
      </c>
      <c r="G8" s="55">
        <f t="shared" si="12"/>
        <v>94.5</v>
      </c>
      <c r="H8" s="56">
        <v>6.1580000000000004</v>
      </c>
      <c r="I8" s="56">
        <v>7.4939999999999998</v>
      </c>
      <c r="J8" s="57">
        <f t="shared" si="6"/>
        <v>113</v>
      </c>
      <c r="K8" s="58">
        <f t="shared" si="7"/>
        <v>102.8</v>
      </c>
      <c r="L8" s="41">
        <f t="shared" si="8"/>
        <v>189</v>
      </c>
      <c r="M8" s="42">
        <f t="shared" si="0"/>
        <v>128.12799999999999</v>
      </c>
      <c r="N8" s="42">
        <f>11.0843333333333*Q8</f>
        <v>177.34933333333279</v>
      </c>
      <c r="O8" s="43">
        <f t="shared" si="2"/>
        <v>34.304681250000002</v>
      </c>
      <c r="P8" s="44">
        <f>C8/Q8</f>
        <v>15.625</v>
      </c>
      <c r="Q8" s="45">
        <v>16</v>
      </c>
      <c r="R8" s="59"/>
      <c r="S8" s="60"/>
      <c r="T8" s="48" t="s">
        <v>27</v>
      </c>
      <c r="U8" s="49">
        <f t="shared" si="3"/>
        <v>75.212400000000002</v>
      </c>
      <c r="V8" s="50" t="s">
        <v>28</v>
      </c>
      <c r="W8" s="51">
        <f t="shared" si="4"/>
        <v>66.544799999999995</v>
      </c>
      <c r="X8" s="52" t="s">
        <v>29</v>
      </c>
      <c r="Y8" s="53">
        <f t="shared" si="5"/>
        <v>32.662405999999997</v>
      </c>
      <c r="Z8" s="54"/>
    </row>
    <row r="9" spans="1:26" ht="45" customHeight="1">
      <c r="A9" s="62" t="s">
        <v>37</v>
      </c>
      <c r="B9" s="35" t="s">
        <v>38</v>
      </c>
      <c r="C9" s="36">
        <f>SUMIFS('[1]EXPORT SCHEDULE'!$D:$D,'[1]EXPORT SCHEDULE'!$B:$B,SHIPPING!A9)</f>
        <v>0</v>
      </c>
      <c r="D9" s="34" t="s">
        <v>26</v>
      </c>
      <c r="E9" s="55">
        <f t="shared" si="10"/>
        <v>56.5</v>
      </c>
      <c r="F9" s="37">
        <f t="shared" si="11"/>
        <v>25.7</v>
      </c>
      <c r="G9" s="55">
        <f>189/2</f>
        <v>94.5</v>
      </c>
      <c r="H9" s="56" t="s">
        <v>39</v>
      </c>
      <c r="I9" s="56" t="s">
        <v>39</v>
      </c>
      <c r="J9" s="57">
        <f t="shared" si="6"/>
        <v>113</v>
      </c>
      <c r="K9" s="58">
        <f t="shared" si="7"/>
        <v>102.8</v>
      </c>
      <c r="L9" s="41">
        <f t="shared" si="8"/>
        <v>189</v>
      </c>
      <c r="M9" s="63" t="s">
        <v>39</v>
      </c>
      <c r="N9" s="63" t="s">
        <v>39</v>
      </c>
      <c r="O9" s="43">
        <f t="shared" si="2"/>
        <v>0</v>
      </c>
      <c r="P9" s="44">
        <f t="shared" si="9"/>
        <v>0</v>
      </c>
      <c r="Q9" s="45">
        <v>16</v>
      </c>
      <c r="R9" s="46"/>
      <c r="S9" s="47"/>
      <c r="T9" s="48" t="s">
        <v>27</v>
      </c>
      <c r="U9" s="49">
        <f t="shared" si="3"/>
        <v>75.212400000000002</v>
      </c>
      <c r="V9" s="50" t="s">
        <v>28</v>
      </c>
      <c r="W9" s="51">
        <f t="shared" si="4"/>
        <v>66.544799999999995</v>
      </c>
      <c r="X9" s="52" t="s">
        <v>29</v>
      </c>
      <c r="Y9" s="53">
        <f t="shared" si="5"/>
        <v>32.662405999999997</v>
      </c>
      <c r="Z9" s="54" t="s">
        <v>40</v>
      </c>
    </row>
    <row r="10" spans="1:26" ht="45" customHeight="1">
      <c r="A10" s="62" t="s">
        <v>41</v>
      </c>
      <c r="B10" s="35" t="s">
        <v>38</v>
      </c>
      <c r="C10" s="36">
        <f>SUMIFS('[1]EXPORT SCHEDULE'!$D:$D,'[1]EXPORT SCHEDULE'!$B:$B,SHIPPING!A10)</f>
        <v>0</v>
      </c>
      <c r="D10" s="34" t="s">
        <v>26</v>
      </c>
      <c r="E10" s="55">
        <f t="shared" si="10"/>
        <v>56.5</v>
      </c>
      <c r="F10" s="37">
        <f t="shared" si="11"/>
        <v>25.7</v>
      </c>
      <c r="G10" s="55">
        <f>189/2</f>
        <v>94.5</v>
      </c>
      <c r="H10" s="56" t="s">
        <v>39</v>
      </c>
      <c r="I10" s="56" t="s">
        <v>39</v>
      </c>
      <c r="J10" s="57">
        <f t="shared" si="6"/>
        <v>113</v>
      </c>
      <c r="K10" s="58">
        <f t="shared" si="7"/>
        <v>102.8</v>
      </c>
      <c r="L10" s="41">
        <f t="shared" si="8"/>
        <v>189</v>
      </c>
      <c r="M10" s="63" t="s">
        <v>39</v>
      </c>
      <c r="N10" s="63" t="s">
        <v>39</v>
      </c>
      <c r="O10" s="43">
        <f t="shared" si="2"/>
        <v>0</v>
      </c>
      <c r="P10" s="44">
        <f t="shared" si="9"/>
        <v>0</v>
      </c>
      <c r="Q10" s="45">
        <v>16</v>
      </c>
      <c r="R10" s="46"/>
      <c r="S10" s="47"/>
      <c r="T10" s="48" t="s">
        <v>27</v>
      </c>
      <c r="U10" s="49">
        <f t="shared" si="3"/>
        <v>75.212400000000002</v>
      </c>
      <c r="V10" s="50" t="s">
        <v>28</v>
      </c>
      <c r="W10" s="51">
        <f t="shared" si="4"/>
        <v>66.544799999999995</v>
      </c>
      <c r="X10" s="52" t="s">
        <v>29</v>
      </c>
      <c r="Y10" s="53">
        <f t="shared" si="5"/>
        <v>32.662405999999997</v>
      </c>
      <c r="Z10" s="54"/>
    </row>
    <row r="11" spans="1:26" ht="45" customHeight="1">
      <c r="A11" s="34" t="s">
        <v>42</v>
      </c>
      <c r="B11" s="35" t="s">
        <v>43</v>
      </c>
      <c r="C11" s="36">
        <f>SUMIFS('[1]EXPORT SCHEDULE'!$D:$D,'[1]EXPORT SCHEDULE'!$B:$B,SHIPPING!A11)</f>
        <v>0</v>
      </c>
      <c r="D11" s="34" t="s">
        <v>26</v>
      </c>
      <c r="E11" s="37">
        <f>100/2</f>
        <v>50</v>
      </c>
      <c r="F11" s="37">
        <f>152/4</f>
        <v>38</v>
      </c>
      <c r="G11" s="55">
        <f>177/2</f>
        <v>88.5</v>
      </c>
      <c r="H11" s="56">
        <v>7.516</v>
      </c>
      <c r="I11" s="64">
        <v>8.74</v>
      </c>
      <c r="J11" s="57">
        <f>50*2</f>
        <v>100</v>
      </c>
      <c r="K11" s="40">
        <v>152</v>
      </c>
      <c r="L11" s="41">
        <f>88.5*2</f>
        <v>177</v>
      </c>
      <c r="M11" s="42">
        <f>8.008*Q11</f>
        <v>128.12799999999999</v>
      </c>
      <c r="N11" s="42">
        <f t="shared" ref="N11:N13" si="13">11.0843333333333*Q11</f>
        <v>177.34933333333279</v>
      </c>
      <c r="O11" s="43">
        <f t="shared" si="2"/>
        <v>0</v>
      </c>
      <c r="P11" s="44">
        <f t="shared" si="9"/>
        <v>0</v>
      </c>
      <c r="Q11" s="45">
        <v>16</v>
      </c>
      <c r="R11" s="46"/>
      <c r="S11" s="47"/>
      <c r="T11" s="48" t="s">
        <v>27</v>
      </c>
      <c r="U11" s="49">
        <f t="shared" si="3"/>
        <v>75.212400000000002</v>
      </c>
      <c r="V11" s="50" t="s">
        <v>28</v>
      </c>
      <c r="W11" s="51">
        <f t="shared" si="4"/>
        <v>66.544799999999995</v>
      </c>
      <c r="X11" s="52" t="s">
        <v>29</v>
      </c>
      <c r="Y11" s="53">
        <f t="shared" si="5"/>
        <v>32.662405999999997</v>
      </c>
      <c r="Z11" s="54"/>
    </row>
    <row r="12" spans="1:26" ht="45" customHeight="1">
      <c r="A12" s="34" t="s">
        <v>44</v>
      </c>
      <c r="B12" s="35" t="s">
        <v>43</v>
      </c>
      <c r="C12" s="36">
        <f>SUMIFS('[1]EXPORT SCHEDULE'!$D:$D,'[1]EXPORT SCHEDULE'!$B:$B,SHIPPING!A12)</f>
        <v>30</v>
      </c>
      <c r="D12" s="34" t="s">
        <v>26</v>
      </c>
      <c r="E12" s="37">
        <f>100/2</f>
        <v>50</v>
      </c>
      <c r="F12" s="37">
        <f>152/4</f>
        <v>38</v>
      </c>
      <c r="G12" s="55">
        <f>177/2</f>
        <v>88.5</v>
      </c>
      <c r="H12" s="56">
        <v>7.516</v>
      </c>
      <c r="I12" s="64">
        <v>8.74</v>
      </c>
      <c r="J12" s="57">
        <f>50*2</f>
        <v>100</v>
      </c>
      <c r="K12" s="40">
        <v>152</v>
      </c>
      <c r="L12" s="41">
        <f>88.5*2</f>
        <v>177</v>
      </c>
      <c r="M12" s="42">
        <f t="shared" ref="M12:M14" si="14">8.008*Q12</f>
        <v>128.12799999999999</v>
      </c>
      <c r="N12" s="42">
        <f t="shared" si="13"/>
        <v>177.34933333333279</v>
      </c>
      <c r="O12" s="43">
        <f t="shared" si="2"/>
        <v>5.0445000000000002</v>
      </c>
      <c r="P12" s="44">
        <f t="shared" si="9"/>
        <v>1.875</v>
      </c>
      <c r="Q12" s="45">
        <v>16</v>
      </c>
      <c r="R12" s="46"/>
      <c r="S12" s="47"/>
      <c r="T12" s="48" t="s">
        <v>27</v>
      </c>
      <c r="U12" s="49">
        <f t="shared" si="3"/>
        <v>75.212400000000002</v>
      </c>
      <c r="V12" s="50" t="s">
        <v>28</v>
      </c>
      <c r="W12" s="51">
        <f t="shared" si="4"/>
        <v>66.544799999999995</v>
      </c>
      <c r="X12" s="52" t="s">
        <v>29</v>
      </c>
      <c r="Y12" s="53">
        <f t="shared" si="5"/>
        <v>32.662405999999997</v>
      </c>
      <c r="Z12" s="54"/>
    </row>
    <row r="13" spans="1:26" ht="45" customHeight="1">
      <c r="A13" s="65" t="s">
        <v>45</v>
      </c>
      <c r="B13" s="66" t="s">
        <v>46</v>
      </c>
      <c r="C13" s="36">
        <f>SUMIFS('[1]EXPORT SCHEDULE'!$D:$D,'[1]EXPORT SCHEDULE'!$B:$B,SHIPPING!A13)</f>
        <v>0</v>
      </c>
      <c r="D13" s="34" t="s">
        <v>26</v>
      </c>
      <c r="E13" s="67">
        <f>100/2</f>
        <v>50</v>
      </c>
      <c r="F13" s="67">
        <f>152/4</f>
        <v>38</v>
      </c>
      <c r="G13" s="68">
        <f>177/2</f>
        <v>88.5</v>
      </c>
      <c r="H13" s="56">
        <v>7.516</v>
      </c>
      <c r="I13" s="64">
        <v>8.74</v>
      </c>
      <c r="J13" s="69">
        <f>50*2</f>
        <v>100</v>
      </c>
      <c r="K13" s="70">
        <v>152</v>
      </c>
      <c r="L13" s="71">
        <f>88.5*2</f>
        <v>177</v>
      </c>
      <c r="M13" s="42">
        <f t="shared" si="14"/>
        <v>128.12799999999999</v>
      </c>
      <c r="N13" s="42">
        <f t="shared" si="13"/>
        <v>177.34933333333279</v>
      </c>
      <c r="O13" s="43">
        <f t="shared" si="2"/>
        <v>0</v>
      </c>
      <c r="P13" s="44">
        <f t="shared" si="9"/>
        <v>0</v>
      </c>
      <c r="Q13" s="72">
        <v>16</v>
      </c>
      <c r="R13" s="46"/>
      <c r="S13" s="47"/>
      <c r="T13" s="48" t="s">
        <v>27</v>
      </c>
      <c r="U13" s="49">
        <f t="shared" si="3"/>
        <v>75.212400000000002</v>
      </c>
      <c r="V13" s="50" t="s">
        <v>28</v>
      </c>
      <c r="W13" s="51">
        <f t="shared" si="4"/>
        <v>66.544799999999995</v>
      </c>
      <c r="X13" s="52" t="s">
        <v>29</v>
      </c>
      <c r="Y13" s="53">
        <f t="shared" si="5"/>
        <v>32.662405999999997</v>
      </c>
      <c r="Z13" s="73"/>
    </row>
    <row r="14" spans="1:26" ht="45" customHeight="1" thickBot="1">
      <c r="A14" s="34" t="s">
        <v>47</v>
      </c>
      <c r="B14" s="35" t="s">
        <v>46</v>
      </c>
      <c r="C14" s="36">
        <f>SUMIFS('[1]EXPORT SCHEDULE'!$D:$D,'[1]EXPORT SCHEDULE'!$B:$B,SHIPPING!A14)</f>
        <v>30</v>
      </c>
      <c r="D14" s="34" t="s">
        <v>26</v>
      </c>
      <c r="E14" s="37">
        <f>100/2</f>
        <v>50</v>
      </c>
      <c r="F14" s="37">
        <f>152/4</f>
        <v>38</v>
      </c>
      <c r="G14" s="55">
        <f>177/2</f>
        <v>88.5</v>
      </c>
      <c r="H14" s="56">
        <v>7.516</v>
      </c>
      <c r="I14" s="64">
        <v>8.74</v>
      </c>
      <c r="J14" s="57">
        <f>50*2</f>
        <v>100</v>
      </c>
      <c r="K14" s="40">
        <v>152</v>
      </c>
      <c r="L14" s="40">
        <f>88.5*2</f>
        <v>177</v>
      </c>
      <c r="M14" s="42">
        <f t="shared" si="14"/>
        <v>128.12799999999999</v>
      </c>
      <c r="N14" s="42">
        <f>11.0843333333333*Q14</f>
        <v>177.34933333333279</v>
      </c>
      <c r="O14" s="43">
        <f t="shared" si="2"/>
        <v>5.0445000000000002</v>
      </c>
      <c r="P14" s="44">
        <f t="shared" si="9"/>
        <v>1.875</v>
      </c>
      <c r="Q14" s="45">
        <v>16</v>
      </c>
      <c r="R14" s="74"/>
      <c r="S14" s="75"/>
      <c r="T14" s="48" t="s">
        <v>27</v>
      </c>
      <c r="U14" s="49">
        <f t="shared" si="3"/>
        <v>75.212400000000002</v>
      </c>
      <c r="V14" s="50" t="s">
        <v>28</v>
      </c>
      <c r="W14" s="51">
        <f t="shared" si="4"/>
        <v>66.544799999999995</v>
      </c>
      <c r="X14" s="52" t="s">
        <v>29</v>
      </c>
      <c r="Y14" s="53">
        <f t="shared" si="5"/>
        <v>32.662405999999997</v>
      </c>
      <c r="Z14" s="54"/>
    </row>
    <row r="15" spans="1:26" ht="17.25" thickTop="1"/>
  </sheetData>
  <mergeCells count="17">
    <mergeCell ref="S1:S2"/>
    <mergeCell ref="T1:U1"/>
    <mergeCell ref="V1:W1"/>
    <mergeCell ref="X1:Y1"/>
    <mergeCell ref="Z1:Z2"/>
    <mergeCell ref="J1:L1"/>
    <mergeCell ref="M1:N1"/>
    <mergeCell ref="O1:O2"/>
    <mergeCell ref="P1:P2"/>
    <mergeCell ref="Q1:Q2"/>
    <mergeCell ref="R1:R2"/>
    <mergeCell ref="A1:A2"/>
    <mergeCell ref="B1:B2"/>
    <mergeCell ref="C1:C2"/>
    <mergeCell ref="D1:D2"/>
    <mergeCell ref="E1:G1"/>
    <mergeCell ref="H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SHIPPING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2021-02-27T07:23:39Z</dcterms:created>
  <dcterms:modified xsi:type="dcterms:W3CDTF">2021-02-27T07:24:11Z</dcterms:modified>
</cp:coreProperties>
</file>