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ADMIN\Desktop\"/>
    </mc:Choice>
  </mc:AlternateContent>
  <xr:revisionPtr revIDLastSave="0" documentId="13_ncr:1_{3A7CA224-2553-4220-8557-6988CB22D78C}" xr6:coauthVersionLast="47" xr6:coauthVersionMax="47" xr10:uidLastSave="{00000000-0000-0000-0000-000000000000}"/>
  <bookViews>
    <workbookView xWindow="-120" yWindow="-120" windowWidth="29040" windowHeight="15720" xr2:uid="{00000000-000D-0000-FFFF-FFFF00000000}"/>
  </bookViews>
  <sheets>
    <sheet name="Kiểm toán tường thân" sheetId="2" r:id="rId1"/>
    <sheet name="Sheet1" sheetId="1" r:id="rId2"/>
  </sheets>
  <externalReferences>
    <externalReference r:id="rId3"/>
    <externalReference r:id="rId4"/>
    <externalReference r:id="rId5"/>
    <externalReference r:id="rId6"/>
    <externalReference r:id="rId7"/>
    <externalReference r:id="rId8"/>
  </externalReferences>
  <definedNames>
    <definedName name="_1">#REF!</definedName>
    <definedName name="_2">#REF!</definedName>
    <definedName name="_A65700">#REF!</definedName>
    <definedName name="_A65800">#REF!</definedName>
    <definedName name="_A66000">#REF!</definedName>
    <definedName name="_A67000">#REF!</definedName>
    <definedName name="_A68000">#REF!</definedName>
    <definedName name="_A70000">#REF!</definedName>
    <definedName name="_A75000">#REF!</definedName>
    <definedName name="_A85000">#REF!</definedName>
    <definedName name="_CON1">#REF!</definedName>
    <definedName name="_CON2">#REF!</definedName>
    <definedName name="_Fill" hidden="1">#REF!</definedName>
    <definedName name="_NET2">#REF!</definedName>
    <definedName name="_Order1" hidden="1">255</definedName>
    <definedName name="_Order2" hidden="1">255</definedName>
    <definedName name="_Px1">[1]SuperLoad!$J$22</definedName>
    <definedName name="_Px2">[1]SuperLoad!$J$23</definedName>
    <definedName name="_Px3">[1]SuperLoad!$J$24</definedName>
    <definedName name="_Sort" hidden="1">#REF!</definedName>
    <definedName name="_Vx1">[1]SuperLoad!$J$25</definedName>
    <definedName name="_Vx2">[1]SuperLoad!$J$26</definedName>
    <definedName name="a">'[1]Số liệu đầu vào + nội lực'!$E$117</definedName>
    <definedName name="AAA">#REF!</definedName>
    <definedName name="Ab">#REF!</definedName>
    <definedName name="Acoc">#REF!</definedName>
    <definedName name="Aq">'[1]Số liệu đầu vào + nội lực'!$B$76</definedName>
    <definedName name="As_">#REF!</definedName>
    <definedName name="b">'[1]Số liệu đầu vào + nội lực'!$E$116</definedName>
    <definedName name="b1_">'[1]Số liệu đầu vào + nội lực'!$J$115</definedName>
    <definedName name="b2_">'[1]Số liệu đầu vào + nội lực'!$J$116</definedName>
    <definedName name="b3_">'[1]Số liệu đầu vào + nội lực'!$J$117</definedName>
    <definedName name="b4_">'[1]Số liệu đầu vào + nội lực'!$J$118</definedName>
    <definedName name="Bar">#REF!</definedName>
    <definedName name="be">[2]BAN!#REF!</definedName>
    <definedName name="BOQ">#REF!</definedName>
    <definedName name="bv">[2]BAN!#REF!</definedName>
    <definedName name="BVCISUMMARY">#REF!</definedName>
    <definedName name="c_">'[1]Số liệu đầu vào + nội lực'!$E$124</definedName>
    <definedName name="CABLE2">#REF!</definedName>
    <definedName name="Cb">#REF!</definedName>
    <definedName name="COMMON">#REF!</definedName>
    <definedName name="CON_EQP_COS">#REF!</definedName>
    <definedName name="COVER">#REF!</definedName>
    <definedName name="CRITINST">#REF!</definedName>
    <definedName name="CRITPURC">#REF!</definedName>
    <definedName name="Cro_section">[2]BAN!#REF!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sm">'[1]Số liệu đầu vào + nội lực'!$F$293</definedName>
    <definedName name="cv">#REF!</definedName>
    <definedName name="d">'[1]Số liệu đầu vào + nội lực'!$E$118</definedName>
    <definedName name="d1_">'[1]Số liệu đầu vào + nội lực'!$J$119</definedName>
    <definedName name="d2_">'[1]Số liệu đầu vào + nội lực'!$J$120</definedName>
    <definedName name="d3_">'[1]Số liệu đầu vào + nội lực'!$J$121</definedName>
    <definedName name="d4_">'[1]Số liệu đầu vào + nội lực'!$J$122</definedName>
    <definedName name="d5_">'[1]Số liệu đầu vào + nội lực'!$J$123</definedName>
    <definedName name="d6_">'[1]Số liệu đầu vào + nội lực'!$J$124</definedName>
    <definedName name="_xlnm.Database">#REF!</definedName>
    <definedName name="DataFilter" localSheetId="0">[2]!DataFilter</definedName>
    <definedName name="DataFilter">[2]!DataFilter</definedName>
    <definedName name="DataSort" localSheetId="0">[2]!DataSort</definedName>
    <definedName name="DataSort">[2]!DataSort</definedName>
    <definedName name="Dco">'[3]#REF'!#REF!</definedName>
    <definedName name="Dcoc">#REF!</definedName>
    <definedName name="dd1x2">#REF!</definedName>
    <definedName name="DL">[2]BAN!#REF!</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Es">[4]tinhnoiluctietdien!$G$13</definedName>
    <definedName name="ex">#REF!</definedName>
    <definedName name="_xlnm.Extract">#REF!</definedName>
    <definedName name="ey">#REF!</definedName>
    <definedName name="f">'[1]Số liệu đầu vào + nội lực'!$E$119</definedName>
    <definedName name="Fb">#REF!</definedName>
    <definedName name="fc" localSheetId="0">'Kiểm toán tường thân'!$I$3</definedName>
    <definedName name="fc">'[1]Kiểm toán bệ mố'!$I$3</definedName>
    <definedName name="fcg">'[5]MS(doc)'!$F$20</definedName>
    <definedName name="Fr">[1]SuperLoad!$E$20</definedName>
    <definedName name="fs">'[1]Số liệu đầu vào + nội lực'!$J$93</definedName>
    <definedName name="fy" localSheetId="0">'Kiểm toán tường thân'!$I$10</definedName>
    <definedName name="fy">'[1]Kiểm toán bệ mố'!$I$10</definedName>
    <definedName name="g">'[1]Số liệu đầu vào + nội lực'!$E$125</definedName>
    <definedName name="G_section">[2]BAN!#REF!</definedName>
    <definedName name="gc">'[1]Số liệu đầu vào + nội lực'!$J$89</definedName>
    <definedName name="gCE">[4]tinhnoiluctietdien!$G$6</definedName>
    <definedName name="geff">#REF!</definedName>
    <definedName name="GIRDER">[2]BAN!$O$70:$P$79</definedName>
    <definedName name="GoBack" localSheetId="0">[2]!GoBack</definedName>
    <definedName name="GoBack">[2]!GoBack</definedName>
    <definedName name="GPT_GROUNDING_PT">#REF!</definedName>
    <definedName name="gs">'[1]Số liệu đầu vào + nội lực'!$J$91</definedName>
    <definedName name="h">'[1]Số liệu đầu vào + nội lực'!$E$115</definedName>
    <definedName name="h1_">'[1]Số liệu đầu vào + nội lực'!$B$794</definedName>
    <definedName name="h2_">'[1]Số liệu đầu vào + nội lực'!$B$795</definedName>
    <definedName name="h3_">'[1]Số liệu đầu vào + nội lực'!$B$796</definedName>
    <definedName name="hc">'[1]Số liệu đầu vào + nội lực'!$M$141</definedName>
    <definedName name="hDam">[4]sl!$J$39</definedName>
    <definedName name="HOME_MANP">#REF!</definedName>
    <definedName name="HOMEOFFICE_COST">#REF!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IDLAB_COST">#REF!</definedName>
    <definedName name="Ig">[2]BAN!#REF!</definedName>
    <definedName name="INDMANP">#REF!</definedName>
    <definedName name="Ip">'[1]Số liệu đầu vào + nội lực'!$J$110</definedName>
    <definedName name="ix">#REF!</definedName>
    <definedName name="ixy">#REF!</definedName>
    <definedName name="iy">#REF!</definedName>
    <definedName name="j">'[1]Số liệu đầu vào + nội lực'!$E$121</definedName>
    <definedName name="k">[5]Column!#REF!</definedName>
    <definedName name="KA">'[1]Số liệu đầu vào + nội lực'!$M$144</definedName>
    <definedName name="KAE">'[1]Số liệu đầu vào + nội lực'!$M$147</definedName>
    <definedName name="KAS">'[1]Số liệu đầu vào + nội lực'!$M$148</definedName>
    <definedName name="KP">'[1]Số liệu đầu vào + nội lực'!$M$143</definedName>
    <definedName name="L">'[1]Số liệu đầu vào + nội lực'!$J$125</definedName>
    <definedName name="lane">[1]SuperLoad!$E$19</definedName>
    <definedName name="lb">[2]BAN!$E$9</definedName>
    <definedName name="Lf">'[1]Số liệu đầu vào + nội lực'!$J$127</definedName>
    <definedName name="LiveLoad">[2]BAN!#REF!</definedName>
    <definedName name="LL">[2]BAN!#REF!</definedName>
    <definedName name="LLs">'[1]Số liệu đầu vào + nội lực'!$AI$203</definedName>
    <definedName name="LOAD">[2]BAN!#REF!</definedName>
    <definedName name="Ls">[1]SuperLoad!$D$46</definedName>
    <definedName name="MAJ_CON_EQP">#REF!</definedName>
    <definedName name="MG_A">#REF!</definedName>
    <definedName name="MOMENT">[2]BAN!#REF!</definedName>
    <definedName name="n">'[1]Số liệu đầu vào + nội lực'!$E$120</definedName>
    <definedName name="n3_">'[1]Số liệu đầu vào + nội lực'!$K$102</definedName>
    <definedName name="n4_">'[1]Số liệu đầu vào + nội lực'!$K$103</definedName>
    <definedName name="Nc">#REF!</definedName>
    <definedName name="nd">#REF!</definedName>
    <definedName name="NET">#REF!</definedName>
    <definedName name="NET_1">#REF!</definedName>
    <definedName name="NET_ANA">#REF!</definedName>
    <definedName name="NET_ANA_1">#REF!</definedName>
    <definedName name="NET_ANA_2">#REF!</definedName>
    <definedName name="nmo">#REF!</definedName>
    <definedName name="nnguoi">#REF!</definedName>
    <definedName name="nominal_shear">[2]BAN!#REF!</definedName>
    <definedName name="Nq">#REF!</definedName>
    <definedName name="nuoc">#REF!</definedName>
    <definedName name="OTHER_PANEL">#REF!</definedName>
    <definedName name="P">#REF!</definedName>
    <definedName name="Pd">#REF!</definedName>
    <definedName name="PileSize">#REF!</definedName>
    <definedName name="PileType">#REF!</definedName>
    <definedName name="PL_指示燈___P.B.___REST_P.B._壓扣開關">#REF!</definedName>
    <definedName name="PLs">[1]SuperLoad!$J$28</definedName>
    <definedName name="PM">#REF!</definedName>
    <definedName name="_xlnm.Print_Area" localSheetId="0">'Kiểm toán tường thân'!$A$1:$K$227</definedName>
    <definedName name="_xlnm.Print_Area">#REF!</definedName>
    <definedName name="PRINT_AREA_MI">#REF!</definedName>
    <definedName name="_xlnm.Print_Titles">#REF!</definedName>
    <definedName name="PRINT_TITLES_MI">#REF!</definedName>
    <definedName name="PRINTA">#REF!</definedName>
    <definedName name="PRINTB">#REF!</definedName>
    <definedName name="PRINTC">#REF!</definedName>
    <definedName name="PROPOSAL">#REF!</definedName>
    <definedName name="qc">'[1]Số liệu đầu vào + nội lực'!$B$652</definedName>
    <definedName name="Qcoc">#REF!</definedName>
    <definedName name="qu">#REF!</definedName>
    <definedName name="qx">#REF!</definedName>
    <definedName name="qy">#REF!</definedName>
    <definedName name="s">[2]BAN!#REF!</definedName>
    <definedName name="s1_">'[1]Số liệu đầu vào + nội lực'!$J$102</definedName>
    <definedName name="s2_">'[1]Số liệu đầu vào + nội lực'!$J$103</definedName>
    <definedName name="s3_">'[1]Số liệu đầu vào + nội lực'!$J$104</definedName>
    <definedName name="s4_">'[1]Số liệu đầu vào + nội lực'!$J$105</definedName>
    <definedName name="SB">#REF!</definedName>
    <definedName name="SoilType">#REF!</definedName>
    <definedName name="SORT">#REF!</definedName>
    <definedName name="SORT_AREA">#REF!</definedName>
    <definedName name="SPEC">#REF!</definedName>
    <definedName name="SPECSUMMARY">#REF!</definedName>
    <definedName name="SRT">[2]BAN!#REF!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TRES_MiD">[2]BAN!#REF!</definedName>
    <definedName name="struc_analy">[6]Sheet1!$A$8</definedName>
    <definedName name="SUMMARY">#REF!</definedName>
    <definedName name="t">'[1]Số liệu đầu vào + nội lực'!$E$122</definedName>
    <definedName name="TRANSFORMER">#REF!</definedName>
    <definedName name="u">'[1]Số liệu đầu vào + nội lực'!$J$126</definedName>
    <definedName name="VARIINST">#REF!</definedName>
    <definedName name="VARIPURC">#REF!</definedName>
    <definedName name="Wc">[2]BAN!#REF!</definedName>
    <definedName name="Wl">[1]SuperLoad!$J$29</definedName>
    <definedName name="x">'[1]Số liệu đầu vào + nội lực'!$J$107</definedName>
    <definedName name="x_list">[6]Section!$B$12:$B$42</definedName>
    <definedName name="xcp">[6]Section!$K$47:$K$51</definedName>
    <definedName name="xm">#REF!</definedName>
    <definedName name="y_list">[6]Section!$C$12:$C$42</definedName>
    <definedName name="ycp">[6]Section!$L$47:$L$51</definedName>
    <definedName name="ZYX">#REF!</definedName>
    <definedName name="ZZZ">#REF!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41" i="2" l="1"/>
  <c r="L141" i="2"/>
  <c r="E200" i="2"/>
  <c r="E206" i="2" s="1"/>
  <c r="E207" i="2" s="1"/>
  <c r="E197" i="2"/>
  <c r="C183" i="2"/>
  <c r="C182" i="2"/>
  <c r="A175" i="2"/>
  <c r="I138" i="2"/>
  <c r="B172" i="2" s="1"/>
  <c r="H172" i="2" s="1"/>
  <c r="H137" i="2"/>
  <c r="A171" i="2" s="1"/>
  <c r="H135" i="2"/>
  <c r="A169" i="2" s="1"/>
  <c r="J132" i="2"/>
  <c r="K132" i="2" s="1"/>
  <c r="I132" i="2"/>
  <c r="B166" i="2" s="1"/>
  <c r="H166" i="2" s="1"/>
  <c r="I129" i="2"/>
  <c r="D80" i="2"/>
  <c r="F80" i="2" s="1"/>
  <c r="H80" i="2" s="1"/>
  <c r="J80" i="2" s="1"/>
  <c r="K79" i="2"/>
  <c r="K73" i="2"/>
  <c r="K67" i="2"/>
  <c r="B104" i="2" s="1"/>
  <c r="B105" i="2" s="1"/>
  <c r="B106" i="2" s="1"/>
  <c r="B107" i="2" s="1"/>
  <c r="B108" i="2" s="1"/>
  <c r="B109" i="2" s="1"/>
  <c r="B110" i="2" s="1"/>
  <c r="B111" i="2" s="1"/>
  <c r="B112" i="2" s="1"/>
  <c r="B113" i="2" s="1"/>
  <c r="B114" i="2" s="1"/>
  <c r="B115" i="2" s="1"/>
  <c r="B116" i="2" s="1"/>
  <c r="B117" i="2" s="1"/>
  <c r="B118" i="2" s="1"/>
  <c r="B119" i="2" s="1"/>
  <c r="B120" i="2" s="1"/>
  <c r="F57" i="2"/>
  <c r="F56" i="2"/>
  <c r="F55" i="2"/>
  <c r="I47" i="2"/>
  <c r="I45" i="2"/>
  <c r="C159" i="2" s="1"/>
  <c r="E37" i="2"/>
  <c r="F52" i="2" s="1"/>
  <c r="E36" i="2"/>
  <c r="I46" i="2" s="1"/>
  <c r="E29" i="2"/>
  <c r="J182" i="2" s="1"/>
  <c r="E28" i="2"/>
  <c r="N26" i="2"/>
  <c r="K26" i="2"/>
  <c r="J26" i="2"/>
  <c r="M26" i="2" s="1"/>
  <c r="I26" i="2"/>
  <c r="H26" i="2"/>
  <c r="G26" i="2"/>
  <c r="F26" i="2"/>
  <c r="O26" i="2" s="1"/>
  <c r="N25" i="2"/>
  <c r="M25" i="2"/>
  <c r="K25" i="2"/>
  <c r="J25" i="2"/>
  <c r="I140" i="2" s="1"/>
  <c r="I25" i="2"/>
  <c r="H25" i="2"/>
  <c r="H140" i="2" s="1"/>
  <c r="A174" i="2" s="1"/>
  <c r="G25" i="2"/>
  <c r="F25" i="2"/>
  <c r="O25" i="2" s="1"/>
  <c r="O24" i="2"/>
  <c r="K24" i="2"/>
  <c r="J24" i="2"/>
  <c r="I139" i="2" s="1"/>
  <c r="I24" i="2"/>
  <c r="H24" i="2"/>
  <c r="G24" i="2"/>
  <c r="F24" i="2"/>
  <c r="K23" i="2"/>
  <c r="J23" i="2"/>
  <c r="M23" i="2" s="1"/>
  <c r="I23" i="2"/>
  <c r="H23" i="2"/>
  <c r="G23" i="2"/>
  <c r="F23" i="2"/>
  <c r="O23" i="2" s="1"/>
  <c r="O22" i="2"/>
  <c r="K22" i="2"/>
  <c r="J22" i="2"/>
  <c r="I22" i="2"/>
  <c r="H22" i="2"/>
  <c r="N22" i="2" s="1"/>
  <c r="G22" i="2"/>
  <c r="F22" i="2"/>
  <c r="M21" i="2"/>
  <c r="K21" i="2"/>
  <c r="J21" i="2"/>
  <c r="I136" i="2" s="1"/>
  <c r="I21" i="2"/>
  <c r="H21" i="2"/>
  <c r="G21" i="2"/>
  <c r="F21" i="2"/>
  <c r="O21" i="2" s="1"/>
  <c r="O20" i="2"/>
  <c r="M20" i="2"/>
  <c r="K20" i="2"/>
  <c r="J20" i="2"/>
  <c r="I135" i="2" s="1"/>
  <c r="I20" i="2"/>
  <c r="H20" i="2"/>
  <c r="N20" i="2" s="1"/>
  <c r="G20" i="2"/>
  <c r="F20" i="2"/>
  <c r="O19" i="2"/>
  <c r="M19" i="2"/>
  <c r="K19" i="2"/>
  <c r="J19" i="2"/>
  <c r="I134" i="2" s="1"/>
  <c r="I19" i="2"/>
  <c r="H19" i="2"/>
  <c r="G19" i="2"/>
  <c r="F19" i="2"/>
  <c r="N18" i="2"/>
  <c r="K18" i="2"/>
  <c r="J18" i="2"/>
  <c r="I18" i="2"/>
  <c r="H18" i="2"/>
  <c r="H133" i="2" s="1"/>
  <c r="A167" i="2" s="1"/>
  <c r="G18" i="2"/>
  <c r="F18" i="2"/>
  <c r="O18" i="2" s="1"/>
  <c r="N17" i="2"/>
  <c r="M17" i="2"/>
  <c r="K17" i="2"/>
  <c r="J17" i="2"/>
  <c r="I17" i="2"/>
  <c r="H17" i="2"/>
  <c r="H132" i="2" s="1"/>
  <c r="A166" i="2" s="1"/>
  <c r="G17" i="2"/>
  <c r="F17" i="2"/>
  <c r="O17" i="2" s="1"/>
  <c r="A17" i="2"/>
  <c r="A18" i="2" s="1"/>
  <c r="A19" i="2" s="1"/>
  <c r="A20" i="2" s="1"/>
  <c r="A21" i="2" s="1"/>
  <c r="A22" i="2" s="1"/>
  <c r="A23" i="2" s="1"/>
  <c r="A24" i="2" s="1"/>
  <c r="A25" i="2" s="1"/>
  <c r="A26" i="2" s="1"/>
  <c r="O16" i="2"/>
  <c r="K16" i="2"/>
  <c r="J16" i="2"/>
  <c r="I16" i="2"/>
  <c r="H16" i="2"/>
  <c r="G16" i="2"/>
  <c r="F16" i="2"/>
  <c r="A16" i="2"/>
  <c r="K15" i="2"/>
  <c r="J15" i="2"/>
  <c r="I15" i="2"/>
  <c r="H15" i="2"/>
  <c r="G15" i="2"/>
  <c r="F15" i="2"/>
  <c r="O15" i="2" s="1"/>
  <c r="A15" i="2"/>
  <c r="M14" i="2"/>
  <c r="K14" i="2"/>
  <c r="J14" i="2"/>
  <c r="I14" i="2"/>
  <c r="H14" i="2"/>
  <c r="G14" i="2"/>
  <c r="F14" i="2"/>
  <c r="O14" i="2" s="1"/>
  <c r="I8" i="2"/>
  <c r="J183" i="2" s="1"/>
  <c r="I6" i="2"/>
  <c r="I5" i="2"/>
  <c r="I4" i="2"/>
  <c r="B169" i="2" l="1"/>
  <c r="H169" i="2" s="1"/>
  <c r="J135" i="2"/>
  <c r="K135" i="2" s="1"/>
  <c r="H138" i="2"/>
  <c r="N23" i="2"/>
  <c r="N16" i="2"/>
  <c r="H131" i="2"/>
  <c r="A165" i="2" s="1"/>
  <c r="B173" i="2"/>
  <c r="H173" i="2" s="1"/>
  <c r="B174" i="2"/>
  <c r="H174" i="2" s="1"/>
  <c r="J140" i="2"/>
  <c r="K140" i="2" s="1"/>
  <c r="H151" i="2"/>
  <c r="G159" i="2" s="1"/>
  <c r="N14" i="2"/>
  <c r="H136" i="2"/>
  <c r="A170" i="2" s="1"/>
  <c r="N21" i="2"/>
  <c r="I137" i="2"/>
  <c r="M22" i="2"/>
  <c r="B43" i="2"/>
  <c r="B44" i="2" s="1"/>
  <c r="I130" i="2"/>
  <c r="M15" i="2"/>
  <c r="M18" i="2"/>
  <c r="M27" i="2" s="1"/>
  <c r="N199" i="2" s="1"/>
  <c r="I133" i="2"/>
  <c r="B168" i="2"/>
  <c r="H168" i="2" s="1"/>
  <c r="B170" i="2"/>
  <c r="H170" i="2" s="1"/>
  <c r="L216" i="2"/>
  <c r="N216" i="2"/>
  <c r="O27" i="2"/>
  <c r="P199" i="2" s="1"/>
  <c r="I131" i="2"/>
  <c r="M16" i="2"/>
  <c r="H129" i="2"/>
  <c r="A163" i="2" s="1"/>
  <c r="N24" i="2"/>
  <c r="H139" i="2"/>
  <c r="A173" i="2" s="1"/>
  <c r="F65" i="2"/>
  <c r="F71" i="2" s="1"/>
  <c r="L199" i="2"/>
  <c r="F53" i="2"/>
  <c r="F58" i="2" s="1"/>
  <c r="F59" i="2" s="1"/>
  <c r="H134" i="2"/>
  <c r="A168" i="2" s="1"/>
  <c r="N19" i="2"/>
  <c r="M24" i="2"/>
  <c r="F54" i="2"/>
  <c r="B220" i="2"/>
  <c r="B163" i="2"/>
  <c r="D226" i="2"/>
  <c r="G227" i="2" s="1"/>
  <c r="K227" i="2" s="1"/>
  <c r="J104" i="2"/>
  <c r="J184" i="2"/>
  <c r="J185" i="2" s="1"/>
  <c r="H130" i="2"/>
  <c r="A164" i="2" s="1"/>
  <c r="N15" i="2"/>
  <c r="D224" i="2"/>
  <c r="J224" i="2" s="1"/>
  <c r="D227" i="2" s="1"/>
  <c r="F174" i="2" l="1"/>
  <c r="F170" i="2"/>
  <c r="F166" i="2"/>
  <c r="H163" i="2"/>
  <c r="G163" i="2" s="1"/>
  <c r="G171" i="2"/>
  <c r="E170" i="2"/>
  <c r="G167" i="2"/>
  <c r="E166" i="2"/>
  <c r="E174" i="2"/>
  <c r="F175" i="2"/>
  <c r="F171" i="2"/>
  <c r="F167" i="2"/>
  <c r="F163" i="2"/>
  <c r="G174" i="2"/>
  <c r="E172" i="2"/>
  <c r="E163" i="2"/>
  <c r="G169" i="2"/>
  <c r="E167" i="2"/>
  <c r="F165" i="2"/>
  <c r="G173" i="2"/>
  <c r="E171" i="2"/>
  <c r="F169" i="2"/>
  <c r="E165" i="2"/>
  <c r="E173" i="2"/>
  <c r="G168" i="2"/>
  <c r="F164" i="2"/>
  <c r="E175" i="2"/>
  <c r="F173" i="2"/>
  <c r="E169" i="2"/>
  <c r="G164" i="2"/>
  <c r="G170" i="2"/>
  <c r="F168" i="2"/>
  <c r="E168" i="2"/>
  <c r="F172" i="2"/>
  <c r="G166" i="2"/>
  <c r="G172" i="2"/>
  <c r="E164" i="2"/>
  <c r="O216" i="2"/>
  <c r="J130" i="2"/>
  <c r="K130" i="2" s="1"/>
  <c r="B164" i="2"/>
  <c r="H164" i="2" s="1"/>
  <c r="F72" i="2"/>
  <c r="F77" i="2"/>
  <c r="F78" i="2" s="1"/>
  <c r="J136" i="2"/>
  <c r="K136" i="2" s="1"/>
  <c r="M216" i="2"/>
  <c r="N27" i="2"/>
  <c r="O199" i="2" s="1"/>
  <c r="Q199" i="2" s="1"/>
  <c r="B81" i="2"/>
  <c r="J126" i="2"/>
  <c r="J129" i="2"/>
  <c r="K129" i="2" s="1"/>
  <c r="J141" i="2"/>
  <c r="K141" i="2" s="1"/>
  <c r="B175" i="2"/>
  <c r="H175" i="2" s="1"/>
  <c r="G175" i="2" s="1"/>
  <c r="J134" i="2"/>
  <c r="K134" i="2" s="1"/>
  <c r="B165" i="2"/>
  <c r="H165" i="2" s="1"/>
  <c r="G165" i="2" s="1"/>
  <c r="J131" i="2"/>
  <c r="K131" i="2" s="1"/>
  <c r="J133" i="2"/>
  <c r="K133" i="2" s="1"/>
  <c r="B167" i="2"/>
  <c r="H167" i="2" s="1"/>
  <c r="J137" i="2"/>
  <c r="K137" i="2" s="1"/>
  <c r="B171" i="2"/>
  <c r="H171" i="2" s="1"/>
  <c r="A172" i="2"/>
  <c r="J138" i="2"/>
  <c r="K138" i="2" s="1"/>
  <c r="B98" i="2"/>
  <c r="B94" i="2"/>
  <c r="B90" i="2"/>
  <c r="B86" i="2"/>
  <c r="B101" i="2"/>
  <c r="B97" i="2"/>
  <c r="E97" i="2" s="1"/>
  <c r="G97" i="2" s="1"/>
  <c r="H97" i="2" s="1"/>
  <c r="B93" i="2"/>
  <c r="B89" i="2"/>
  <c r="B85" i="2"/>
  <c r="B92" i="2"/>
  <c r="B91" i="2"/>
  <c r="F66" i="2"/>
  <c r="E99" i="2"/>
  <c r="G99" i="2" s="1"/>
  <c r="H99" i="2" s="1"/>
  <c r="E98" i="2"/>
  <c r="G98" i="2" s="1"/>
  <c r="H98" i="2" s="1"/>
  <c r="B96" i="2"/>
  <c r="B95" i="2"/>
  <c r="E101" i="2"/>
  <c r="G101" i="2" s="1"/>
  <c r="H101" i="2" s="1"/>
  <c r="E86" i="2"/>
  <c r="G86" i="2" s="1"/>
  <c r="H86" i="2" s="1"/>
  <c r="E85" i="2"/>
  <c r="G85" i="2" s="1"/>
  <c r="H85" i="2" s="1"/>
  <c r="E90" i="2"/>
  <c r="G90" i="2" s="1"/>
  <c r="H90" i="2" s="1"/>
  <c r="E89" i="2"/>
  <c r="G89" i="2" s="1"/>
  <c r="H89" i="2" s="1"/>
  <c r="B100" i="2"/>
  <c r="E100" i="2" s="1"/>
  <c r="G100" i="2" s="1"/>
  <c r="H100" i="2" s="1"/>
  <c r="B99" i="2"/>
  <c r="E91" i="2"/>
  <c r="G91" i="2" s="1"/>
  <c r="H91" i="2" s="1"/>
  <c r="E92" i="2"/>
  <c r="G92" i="2" s="1"/>
  <c r="H92" i="2" s="1"/>
  <c r="B88" i="2"/>
  <c r="E95" i="2"/>
  <c r="G95" i="2" s="1"/>
  <c r="H95" i="2" s="1"/>
  <c r="F60" i="2"/>
  <c r="B87" i="2"/>
  <c r="E87" i="2" s="1"/>
  <c r="G87" i="2" s="1"/>
  <c r="H87" i="2" s="1"/>
  <c r="M199" i="2"/>
  <c r="E201" i="2" s="1"/>
  <c r="J139" i="2"/>
  <c r="K139" i="2" s="1"/>
  <c r="E106" i="2" l="1"/>
  <c r="F106" i="2" s="1"/>
  <c r="K108" i="2" s="1"/>
  <c r="J200" i="2"/>
  <c r="J199" i="2"/>
  <c r="J198" i="2"/>
  <c r="J219" i="2"/>
  <c r="J218" i="2"/>
  <c r="J217" i="2"/>
  <c r="F61" i="2"/>
  <c r="E184" i="2"/>
  <c r="E186" i="2" s="1"/>
  <c r="J186" i="2" s="1"/>
  <c r="D85" i="2"/>
  <c r="F85" i="2" s="1"/>
  <c r="I85" i="2" s="1"/>
  <c r="K85" i="2"/>
  <c r="I106" i="2" s="1"/>
  <c r="C85" i="2"/>
  <c r="J85" i="2" s="1"/>
  <c r="D98" i="2"/>
  <c r="F98" i="2" s="1"/>
  <c r="I98" i="2" s="1"/>
  <c r="E117" i="2" s="1"/>
  <c r="F117" i="2" s="1"/>
  <c r="K121" i="2" s="1"/>
  <c r="K98" i="2"/>
  <c r="I121" i="2" s="1"/>
  <c r="C98" i="2"/>
  <c r="J98" i="2" s="1"/>
  <c r="C117" i="2" s="1"/>
  <c r="D117" i="2" s="1"/>
  <c r="J121" i="2" s="1"/>
  <c r="D89" i="2"/>
  <c r="F89" i="2" s="1"/>
  <c r="I89" i="2" s="1"/>
  <c r="E108" i="2" s="1"/>
  <c r="F108" i="2" s="1"/>
  <c r="K110" i="2" s="1"/>
  <c r="K89" i="2"/>
  <c r="I110" i="2" s="1"/>
  <c r="C89" i="2"/>
  <c r="J89" i="2" s="1"/>
  <c r="D96" i="2"/>
  <c r="F96" i="2" s="1"/>
  <c r="I96" i="2" s="1"/>
  <c r="C96" i="2"/>
  <c r="J96" i="2" s="1"/>
  <c r="C115" i="2" s="1"/>
  <c r="D115" i="2" s="1"/>
  <c r="J119" i="2" s="1"/>
  <c r="K96" i="2"/>
  <c r="I119" i="2" s="1"/>
  <c r="E105" i="2"/>
  <c r="F105" i="2" s="1"/>
  <c r="K107" i="2" s="1"/>
  <c r="D97" i="2"/>
  <c r="F97" i="2" s="1"/>
  <c r="I97" i="2" s="1"/>
  <c r="E116" i="2" s="1"/>
  <c r="F116" i="2" s="1"/>
  <c r="K120" i="2" s="1"/>
  <c r="K97" i="2"/>
  <c r="I120" i="2" s="1"/>
  <c r="C97" i="2"/>
  <c r="J97" i="2" s="1"/>
  <c r="C116" i="2" s="1"/>
  <c r="D116" i="2" s="1"/>
  <c r="J120" i="2" s="1"/>
  <c r="F64" i="2"/>
  <c r="F63" i="2" s="1"/>
  <c r="I65" i="2" s="1"/>
  <c r="I66" i="2" s="1"/>
  <c r="I124" i="2"/>
  <c r="F67" i="2"/>
  <c r="D101" i="2"/>
  <c r="F101" i="2" s="1"/>
  <c r="I101" i="2" s="1"/>
  <c r="K101" i="2"/>
  <c r="I125" i="2" s="1"/>
  <c r="C101" i="2"/>
  <c r="J101" i="2" s="1"/>
  <c r="F70" i="2"/>
  <c r="F69" i="2" s="1"/>
  <c r="F73" i="2"/>
  <c r="I69" i="2" s="1"/>
  <c r="I70" i="2" s="1"/>
  <c r="I116" i="2"/>
  <c r="E96" i="2"/>
  <c r="G96" i="2" s="1"/>
  <c r="H96" i="2" s="1"/>
  <c r="D88" i="2"/>
  <c r="F88" i="2" s="1"/>
  <c r="I88" i="2" s="1"/>
  <c r="C88" i="2"/>
  <c r="J88" i="2" s="1"/>
  <c r="K88" i="2"/>
  <c r="I109" i="2" s="1"/>
  <c r="D100" i="2"/>
  <c r="F100" i="2" s="1"/>
  <c r="I100" i="2" s="1"/>
  <c r="K100" i="2"/>
  <c r="I123" i="2" s="1"/>
  <c r="C100" i="2"/>
  <c r="J100" i="2" s="1"/>
  <c r="C119" i="2" s="1"/>
  <c r="D119" i="2" s="1"/>
  <c r="J123" i="2" s="1"/>
  <c r="D94" i="2"/>
  <c r="F94" i="2" s="1"/>
  <c r="I94" i="2" s="1"/>
  <c r="C94" i="2"/>
  <c r="J94" i="2" s="1"/>
  <c r="K94" i="2"/>
  <c r="I117" i="2" s="1"/>
  <c r="E104" i="2"/>
  <c r="F104" i="2" s="1"/>
  <c r="K106" i="2" s="1"/>
  <c r="D93" i="2"/>
  <c r="F93" i="2" s="1"/>
  <c r="I93" i="2" s="1"/>
  <c r="K93" i="2"/>
  <c r="I115" i="2" s="1"/>
  <c r="C93" i="2"/>
  <c r="J93" i="2" s="1"/>
  <c r="F79" i="2"/>
  <c r="I75" i="2" s="1"/>
  <c r="I76" i="2" s="1"/>
  <c r="I111" i="2"/>
  <c r="F76" i="2"/>
  <c r="F75" i="2" s="1"/>
  <c r="E198" i="2"/>
  <c r="E199" i="2" s="1"/>
  <c r="E93" i="2"/>
  <c r="G93" i="2" s="1"/>
  <c r="H93" i="2" s="1"/>
  <c r="E112" i="2" s="1"/>
  <c r="F112" i="2" s="1"/>
  <c r="K115" i="2" s="1"/>
  <c r="E88" i="2"/>
  <c r="G88" i="2" s="1"/>
  <c r="H88" i="2" s="1"/>
  <c r="E107" i="2" s="1"/>
  <c r="F107" i="2" s="1"/>
  <c r="K109" i="2" s="1"/>
  <c r="E120" i="2"/>
  <c r="F120" i="2" s="1"/>
  <c r="K125" i="2" s="1"/>
  <c r="K91" i="2"/>
  <c r="I113" i="2" s="1"/>
  <c r="D91" i="2"/>
  <c r="F91" i="2" s="1"/>
  <c r="I91" i="2" s="1"/>
  <c r="C91" i="2"/>
  <c r="J91" i="2" s="1"/>
  <c r="C110" i="2" s="1"/>
  <c r="D110" i="2" s="1"/>
  <c r="J113" i="2" s="1"/>
  <c r="D86" i="2"/>
  <c r="F86" i="2" s="1"/>
  <c r="I86" i="2" s="1"/>
  <c r="C86" i="2"/>
  <c r="J86" i="2" s="1"/>
  <c r="C105" i="2" s="1"/>
  <c r="D105" i="2" s="1"/>
  <c r="J107" i="2" s="1"/>
  <c r="K86" i="2"/>
  <c r="I107" i="2" s="1"/>
  <c r="E94" i="2"/>
  <c r="G94" i="2" s="1"/>
  <c r="H94" i="2" s="1"/>
  <c r="D99" i="2"/>
  <c r="F99" i="2" s="1"/>
  <c r="I99" i="2" s="1"/>
  <c r="E118" i="2" s="1"/>
  <c r="F118" i="2" s="1"/>
  <c r="K122" i="2" s="1"/>
  <c r="K99" i="2"/>
  <c r="I122" i="2" s="1"/>
  <c r="C99" i="2"/>
  <c r="J99" i="2" s="1"/>
  <c r="D95" i="2"/>
  <c r="F95" i="2" s="1"/>
  <c r="I95" i="2" s="1"/>
  <c r="E114" i="2" s="1"/>
  <c r="F114" i="2" s="1"/>
  <c r="K118" i="2" s="1"/>
  <c r="C95" i="2"/>
  <c r="J95" i="2" s="1"/>
  <c r="K95" i="2"/>
  <c r="I118" i="2" s="1"/>
  <c r="D92" i="2"/>
  <c r="F92" i="2" s="1"/>
  <c r="I92" i="2" s="1"/>
  <c r="E111" i="2" s="1"/>
  <c r="F111" i="2" s="1"/>
  <c r="K114" i="2" s="1"/>
  <c r="K92" i="2"/>
  <c r="I114" i="2" s="1"/>
  <c r="C92" i="2"/>
  <c r="J92" i="2" s="1"/>
  <c r="C111" i="2" s="1"/>
  <c r="D111" i="2" s="1"/>
  <c r="J114" i="2" s="1"/>
  <c r="K90" i="2"/>
  <c r="I112" i="2" s="1"/>
  <c r="D90" i="2"/>
  <c r="F90" i="2" s="1"/>
  <c r="I90" i="2" s="1"/>
  <c r="E109" i="2" s="1"/>
  <c r="F109" i="2" s="1"/>
  <c r="K112" i="2" s="1"/>
  <c r="C90" i="2"/>
  <c r="J90" i="2" s="1"/>
  <c r="C109" i="2" s="1"/>
  <c r="D109" i="2" s="1"/>
  <c r="J112" i="2" s="1"/>
  <c r="C87" i="2"/>
  <c r="J87" i="2" s="1"/>
  <c r="D87" i="2"/>
  <c r="F87" i="2" s="1"/>
  <c r="I87" i="2" s="1"/>
  <c r="K87" i="2"/>
  <c r="I108" i="2" s="1"/>
  <c r="D82" i="2" l="1"/>
  <c r="K124" i="2"/>
  <c r="E113" i="2"/>
  <c r="F113" i="2" s="1"/>
  <c r="K117" i="2" s="1"/>
  <c r="F81" i="2"/>
  <c r="J116" i="2"/>
  <c r="C120" i="2"/>
  <c r="D120" i="2" s="1"/>
  <c r="J125" i="2" s="1"/>
  <c r="C108" i="2"/>
  <c r="D108" i="2" s="1"/>
  <c r="J110" i="2" s="1"/>
  <c r="C104" i="2"/>
  <c r="D104" i="2" s="1"/>
  <c r="J106" i="2" s="1"/>
  <c r="E110" i="2"/>
  <c r="F110" i="2" s="1"/>
  <c r="K113" i="2" s="1"/>
  <c r="C112" i="2"/>
  <c r="D112" i="2" s="1"/>
  <c r="J115" i="2" s="1"/>
  <c r="I71" i="2"/>
  <c r="I72" i="2" s="1"/>
  <c r="C106" i="2"/>
  <c r="D106" i="2" s="1"/>
  <c r="J108" i="2" s="1"/>
  <c r="C114" i="2"/>
  <c r="D114" i="2" s="1"/>
  <c r="J118" i="2" s="1"/>
  <c r="J111" i="2"/>
  <c r="H81" i="2"/>
  <c r="J201" i="2"/>
  <c r="C107" i="2"/>
  <c r="D107" i="2" s="1"/>
  <c r="J109" i="2" s="1"/>
  <c r="C118" i="2"/>
  <c r="D118" i="2" s="1"/>
  <c r="J122" i="2" s="1"/>
  <c r="I77" i="2"/>
  <c r="I78" i="2" s="1"/>
  <c r="I63" i="2"/>
  <c r="I64" i="2" s="1"/>
  <c r="C113" i="2"/>
  <c r="D113" i="2" s="1"/>
  <c r="J117" i="2" s="1"/>
  <c r="E115" i="2"/>
  <c r="F115" i="2" s="1"/>
  <c r="K119" i="2" s="1"/>
  <c r="E202" i="2"/>
  <c r="E203" i="2" s="1"/>
  <c r="K105" i="2"/>
  <c r="J82" i="2"/>
  <c r="E119" i="2"/>
  <c r="F119" i="2" s="1"/>
  <c r="K123" i="2" s="1"/>
  <c r="J203" i="2" l="1"/>
  <c r="J205" i="2" s="1"/>
  <c r="J202" i="2"/>
  <c r="J206" i="2" s="1"/>
  <c r="E220" i="2" s="1"/>
  <c r="K220" i="2" s="1"/>
  <c r="J124" i="2"/>
  <c r="D81" i="2"/>
  <c r="K111" i="2"/>
  <c r="H82" i="2"/>
  <c r="K116" i="2"/>
  <c r="F82" i="2"/>
  <c r="H207" i="2" l="1"/>
  <c r="K207" i="2" s="1"/>
  <c r="K210" i="2"/>
  <c r="K211" i="2" s="1"/>
  <c r="G20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Vinh chuot</author>
  </authors>
  <commentList>
    <comment ref="L60" authorId="0" shapeId="0" xr:uid="{B696E770-3131-4C0E-BC06-4D9545BEA2A5}">
      <text>
        <r>
          <rPr>
            <b/>
            <sz val="9"/>
            <color indexed="81"/>
            <rFont val="Tahoma"/>
            <family val="2"/>
          </rPr>
          <t>Vinh chuot:</t>
        </r>
        <r>
          <rPr>
            <sz val="9"/>
            <color indexed="81"/>
            <rFont val="Tahoma"/>
            <family val="2"/>
          </rPr>
          <t xml:space="preserve">
an toàn chọn 1</t>
        </r>
      </text>
    </comment>
    <comment ref="B182" authorId="0" shapeId="0" xr:uid="{0F517BB4-4FF6-43BE-B4E6-58A04BA74B3F}">
      <text>
        <r>
          <rPr>
            <b/>
            <sz val="9"/>
            <color indexed="81"/>
            <rFont val="Tahoma"/>
            <family val="2"/>
          </rPr>
          <t>Vinh chuot:</t>
        </r>
        <r>
          <rPr>
            <sz val="9"/>
            <color indexed="81"/>
            <rFont val="Tahoma"/>
            <family val="2"/>
          </rPr>
          <t xml:space="preserve">
Nhập vào
</t>
        </r>
      </text>
    </comment>
    <comment ref="L195" authorId="0" shapeId="0" xr:uid="{BD4C4C6D-528E-40B9-8948-09C53004AD0E}">
      <text>
        <r>
          <rPr>
            <b/>
            <sz val="9"/>
            <color indexed="81"/>
            <rFont val="Tahoma"/>
            <family val="2"/>
          </rPr>
          <t>Vinh chuot:</t>
        </r>
        <r>
          <rPr>
            <sz val="9"/>
            <color indexed="81"/>
            <rFont val="Tahoma"/>
            <family val="2"/>
          </rPr>
          <t xml:space="preserve">
nhập vào</t>
        </r>
      </text>
    </comment>
    <comment ref="J198" authorId="0" shapeId="0" xr:uid="{11A81790-155D-42B7-ACF8-B43B16E8FEA5}">
      <text>
        <r>
          <rPr>
            <b/>
            <sz val="9"/>
            <color indexed="81"/>
            <rFont val="Tahoma"/>
            <family val="2"/>
          </rPr>
          <t>Vinh chuot:</t>
        </r>
        <r>
          <rPr>
            <sz val="9"/>
            <color indexed="81"/>
            <rFont val="Tahoma"/>
            <family val="2"/>
          </rPr>
          <t xml:space="preserve">
nếu k tìm ra kq thì nhập tay</t>
        </r>
      </text>
    </comment>
    <comment ref="D225" authorId="0" shapeId="0" xr:uid="{C961B94C-B393-4A85-833C-FA6A18D6DC0F}">
      <text>
        <r>
          <rPr>
            <b/>
            <sz val="9"/>
            <color indexed="81"/>
            <rFont val="Tahoma"/>
            <family val="2"/>
          </rPr>
          <t>Vinh chuot:</t>
        </r>
        <r>
          <rPr>
            <sz val="9"/>
            <color indexed="81"/>
            <rFont val="Tahoma"/>
            <family val="2"/>
          </rPr>
          <t xml:space="preserve">
nên chọn 0.75</t>
        </r>
      </text>
    </comment>
  </commentList>
</comments>
</file>

<file path=xl/sharedStrings.xml><?xml version="1.0" encoding="utf-8"?>
<sst xmlns="http://schemas.openxmlformats.org/spreadsheetml/2006/main" count="496" uniqueCount="303">
  <si>
    <t>III Tính toán tường thân</t>
  </si>
  <si>
    <t>3.1 Số liệu tính toán</t>
  </si>
  <si>
    <t xml:space="preserve">     •  Cường độ chịu nén bêtông 28 ngày</t>
  </si>
  <si>
    <r>
      <t>f'</t>
    </r>
    <r>
      <rPr>
        <vertAlign val="subscript"/>
        <sz val="10"/>
        <rFont val="Arial"/>
        <family val="2"/>
      </rPr>
      <t>c</t>
    </r>
  </si>
  <si>
    <t>Mpa</t>
  </si>
  <si>
    <t xml:space="preserve">     •  Khối lượng riêng bê tông</t>
  </si>
  <si>
    <r>
      <rPr>
        <sz val="10"/>
        <rFont val="Symbol"/>
        <family val="1"/>
        <charset val="2"/>
      </rPr>
      <t>r</t>
    </r>
    <r>
      <rPr>
        <vertAlign val="subscript"/>
        <sz val="10"/>
        <rFont val="Arial"/>
        <family val="2"/>
      </rPr>
      <t>cbt</t>
    </r>
  </si>
  <si>
    <r>
      <t>Kg/m</t>
    </r>
    <r>
      <rPr>
        <vertAlign val="superscript"/>
        <sz val="10"/>
        <rFont val="Arial"/>
        <family val="2"/>
      </rPr>
      <t>3</t>
    </r>
  </si>
  <si>
    <t xml:space="preserve">     •  Trọng lượng riêng bê tông</t>
  </si>
  <si>
    <r>
      <rPr>
        <sz val="10"/>
        <rFont val="Symbol"/>
        <family val="1"/>
        <charset val="2"/>
      </rPr>
      <t>g</t>
    </r>
    <r>
      <rPr>
        <vertAlign val="subscript"/>
        <sz val="10"/>
        <rFont val="Arial"/>
        <family val="2"/>
      </rPr>
      <t>cbt</t>
    </r>
  </si>
  <si>
    <r>
      <t xml:space="preserve">     • Mô đun đàn hồi Ec=0.0017K1W</t>
    </r>
    <r>
      <rPr>
        <vertAlign val="subscript"/>
        <sz val="10"/>
        <rFont val="Arial"/>
        <family val="2"/>
      </rPr>
      <t>c</t>
    </r>
    <r>
      <rPr>
        <vertAlign val="superscript"/>
        <sz val="10"/>
        <rFont val="Arial"/>
        <family val="2"/>
      </rPr>
      <t>2</t>
    </r>
    <r>
      <rPr>
        <sz val="10"/>
        <rFont val="Arial"/>
        <family val="2"/>
      </rPr>
      <t xml:space="preserve"> f'c</t>
    </r>
    <r>
      <rPr>
        <vertAlign val="superscript"/>
        <sz val="10"/>
        <rFont val="Arial"/>
        <family val="2"/>
      </rPr>
      <t>0.33</t>
    </r>
  </si>
  <si>
    <r>
      <t>E</t>
    </r>
    <r>
      <rPr>
        <vertAlign val="subscript"/>
        <sz val="10"/>
        <rFont val="Arial"/>
        <family val="2"/>
      </rPr>
      <t>c</t>
    </r>
  </si>
  <si>
    <t>MPa</t>
  </si>
  <si>
    <t xml:space="preserve">     • Hệ số poisson</t>
  </si>
  <si>
    <r>
      <t xml:space="preserve">     • Cường độ chịu kéo fr=0.63f'c</t>
    </r>
    <r>
      <rPr>
        <vertAlign val="superscript"/>
        <sz val="10"/>
        <rFont val="Arial"/>
        <family val="2"/>
      </rPr>
      <t>0.5</t>
    </r>
  </si>
  <si>
    <r>
      <t>f</t>
    </r>
    <r>
      <rPr>
        <vertAlign val="subscript"/>
        <sz val="10"/>
        <rFont val="Arial"/>
        <family val="2"/>
      </rPr>
      <t>r</t>
    </r>
  </si>
  <si>
    <t xml:space="preserve">     • Mô đun đàn hồi của thép</t>
  </si>
  <si>
    <r>
      <t>E</t>
    </r>
    <r>
      <rPr>
        <vertAlign val="subscript"/>
        <sz val="10"/>
        <rFont val="Arial"/>
        <family val="2"/>
      </rPr>
      <t>s</t>
    </r>
  </si>
  <si>
    <t xml:space="preserve">     • Cường độ chịu kéo cốt thép</t>
  </si>
  <si>
    <r>
      <t>f</t>
    </r>
    <r>
      <rPr>
        <vertAlign val="subscript"/>
        <sz val="10"/>
        <rFont val="Arial"/>
        <family val="2"/>
      </rPr>
      <t>y</t>
    </r>
  </si>
  <si>
    <t>3.2 Tải trọng tính toán</t>
  </si>
  <si>
    <t>TT</t>
  </si>
  <si>
    <t>Hạng mục</t>
  </si>
  <si>
    <t>H(x)</t>
  </si>
  <si>
    <t>T(y)</t>
  </si>
  <si>
    <t>V(z)</t>
  </si>
  <si>
    <t>Mx</t>
  </si>
  <si>
    <t>My</t>
  </si>
  <si>
    <t>Mz</t>
  </si>
  <si>
    <t>KN</t>
  </si>
  <si>
    <t>KN.m</t>
  </si>
  <si>
    <t>M</t>
  </si>
  <si>
    <t>N</t>
  </si>
  <si>
    <t>V</t>
  </si>
  <si>
    <t>CĐ1</t>
  </si>
  <si>
    <t>CĐ2</t>
  </si>
  <si>
    <t>CĐ3</t>
  </si>
  <si>
    <t>CĐ4</t>
  </si>
  <si>
    <t>CĐ5</t>
  </si>
  <si>
    <t>ĐB 1</t>
  </si>
  <si>
    <t>ĐB 2</t>
  </si>
  <si>
    <t>SD 1</t>
  </si>
  <si>
    <t>SD 2</t>
  </si>
  <si>
    <t>SD 3</t>
  </si>
  <si>
    <t>SD 4</t>
  </si>
  <si>
    <t>Mỏi I</t>
  </si>
  <si>
    <t>Mỏi II</t>
  </si>
  <si>
    <t>3.3 Kích thước và bố trí cốt thép</t>
  </si>
  <si>
    <t>Chiều cao mặt cắt</t>
  </si>
  <si>
    <t>H</t>
  </si>
  <si>
    <t>m</t>
  </si>
  <si>
    <t>Bề rộng mặt cắt</t>
  </si>
  <si>
    <t>B</t>
  </si>
  <si>
    <t>Bê tông bảo vệ lớp trên</t>
  </si>
  <si>
    <r>
      <t>a</t>
    </r>
    <r>
      <rPr>
        <vertAlign val="subscript"/>
        <sz val="10"/>
        <rFont val="Arial"/>
        <family val="2"/>
      </rPr>
      <t>t</t>
    </r>
  </si>
  <si>
    <t>mm</t>
  </si>
  <si>
    <t>Bê tông bảo vệ lớp dưới</t>
  </si>
  <si>
    <r>
      <t>a</t>
    </r>
    <r>
      <rPr>
        <vertAlign val="subscript"/>
        <sz val="10"/>
        <rFont val="Arial"/>
        <family val="2"/>
      </rPr>
      <t>b</t>
    </r>
  </si>
  <si>
    <t>Số lượng thanh lớp trên</t>
  </si>
  <si>
    <r>
      <t>n</t>
    </r>
    <r>
      <rPr>
        <vertAlign val="subscript"/>
        <sz val="10"/>
        <rFont val="Arial"/>
        <family val="2"/>
      </rPr>
      <t>t</t>
    </r>
  </si>
  <si>
    <t>thanh</t>
  </si>
  <si>
    <t>Số lượng thanh lớp dưới</t>
  </si>
  <si>
    <r>
      <t>n</t>
    </r>
    <r>
      <rPr>
        <vertAlign val="subscript"/>
        <sz val="10"/>
        <rFont val="Arial"/>
        <family val="2"/>
      </rPr>
      <t>b</t>
    </r>
  </si>
  <si>
    <t>Đường kính cốt thép lớp trên</t>
  </si>
  <si>
    <r>
      <t>d</t>
    </r>
    <r>
      <rPr>
        <vertAlign val="subscript"/>
        <sz val="10"/>
        <rFont val="Arial"/>
        <family val="2"/>
      </rPr>
      <t>t</t>
    </r>
  </si>
  <si>
    <t>Đường kính cốt thép lớp dưới</t>
  </si>
  <si>
    <r>
      <t>d</t>
    </r>
    <r>
      <rPr>
        <vertAlign val="subscript"/>
        <sz val="10"/>
        <rFont val="Arial"/>
        <family val="2"/>
      </rPr>
      <t>b</t>
    </r>
  </si>
  <si>
    <t>Diện tích cốt thép lớp trên</t>
  </si>
  <si>
    <r>
      <t>A</t>
    </r>
    <r>
      <rPr>
        <vertAlign val="subscript"/>
        <sz val="10"/>
        <rFont val="Arial"/>
        <family val="2"/>
      </rPr>
      <t>st</t>
    </r>
  </si>
  <si>
    <t>mm2</t>
  </si>
  <si>
    <t>Diện tích cốt thép lớp dưới</t>
  </si>
  <si>
    <r>
      <t>A</t>
    </r>
    <r>
      <rPr>
        <vertAlign val="subscript"/>
        <sz val="10"/>
        <rFont val="Arial"/>
        <family val="2"/>
      </rPr>
      <t>sb</t>
    </r>
  </si>
  <si>
    <t xml:space="preserve">3.4 Kiểm toán khả năng chịu lực </t>
  </si>
  <si>
    <t>5.7.4.4</t>
  </si>
  <si>
    <t>Do tải trọng theo phương Mx tương đối nhỏ ta coi như bỏ qua tính toán theo phương x</t>
  </si>
  <si>
    <t>Khả năng chịu lực dọc thuần túy</t>
  </si>
  <si>
    <t>Cốt đai thường</t>
  </si>
  <si>
    <t>Đối với cấu kiện có cốt thép đai xoắn</t>
  </si>
  <si>
    <t>Pn</t>
  </si>
  <si>
    <t>Đối với cấu kiện có cốt thép đai thường</t>
  </si>
  <si>
    <t>Pr</t>
  </si>
  <si>
    <r>
      <t>A</t>
    </r>
    <r>
      <rPr>
        <vertAlign val="subscript"/>
        <sz val="10"/>
        <rFont val="Arial"/>
        <family val="2"/>
      </rPr>
      <t>g</t>
    </r>
  </si>
  <si>
    <t>Diện tích nguyên của mặt cắt</t>
  </si>
  <si>
    <t>Diện tích cốt thép chịu nén</t>
  </si>
  <si>
    <r>
      <t>k</t>
    </r>
    <r>
      <rPr>
        <vertAlign val="subscript"/>
        <sz val="10"/>
        <rFont val="Arial"/>
        <family val="2"/>
      </rPr>
      <t>c</t>
    </r>
  </si>
  <si>
    <t>Tỷ số giữa ứng suất nén bê tông lớn nhất với cường độ chịu nén của bê tông</t>
  </si>
  <si>
    <t>Ф</t>
  </si>
  <si>
    <t>Hệ số sức kháng của cấu kiện nén dọc trục</t>
  </si>
  <si>
    <t>Khả năng kéo do uốn</t>
  </si>
  <si>
    <t>Mặt cắt chữ nhật</t>
  </si>
  <si>
    <t>Khả năng chịu uốn mặt cắt chữ nhật</t>
  </si>
  <si>
    <t>Hệ số sức kháng kéo khi uốn</t>
  </si>
  <si>
    <t>As</t>
  </si>
  <si>
    <t>Diện tích cốt thép chịu kéo không dự ứng lực</t>
  </si>
  <si>
    <t>As'</t>
  </si>
  <si>
    <t>ds</t>
  </si>
  <si>
    <t>Khoảng cách từ thớ nén ngoài cùng đến trọng tâm cốt thép chịu kéo</t>
  </si>
  <si>
    <t>Khả năng chịu uốn mặt cắt chữ T</t>
  </si>
  <si>
    <t>ds'</t>
  </si>
  <si>
    <t>Khoảng cách từ thớ ngoài cùng chịu nén đến trọng tâm cốt thép chịu nén</t>
  </si>
  <si>
    <t>α1</t>
  </si>
  <si>
    <t>Hệ số quy đổi hình khối ứng suất</t>
  </si>
  <si>
    <t>1</t>
  </si>
  <si>
    <t>Hệ số chuyển đổi biểu đồ ứng suất</t>
  </si>
  <si>
    <t>c</t>
  </si>
  <si>
    <t>khoảng cách từ trục trung hoà đến mặt chịu nén</t>
  </si>
  <si>
    <t>fy có thể thay cho fs khi tính toán theo các Điều khoản trích dẫn ở trên do tỷ lệ c/ds không nhỏ hơn</t>
  </si>
  <si>
    <t>a</t>
  </si>
  <si>
    <t>Chiều dày của biểu đồ khối ứng suất tương đương</t>
  </si>
  <si>
    <t>Mn</t>
  </si>
  <si>
    <t>Sức kháng uốn danh định</t>
  </si>
  <si>
    <t>Mr</t>
  </si>
  <si>
    <t>Sức kháng uốn tính toán</t>
  </si>
  <si>
    <t xml:space="preserve"> Phá hoại nén Ứng suất trong cốt thép chịu kéo bằng 0 bê tông bị phá hoại</t>
  </si>
  <si>
    <t>f's</t>
  </si>
  <si>
    <t>Cường độ chịu kéo của cốt thép chịu nén</t>
  </si>
  <si>
    <r>
      <t>ɛ'</t>
    </r>
    <r>
      <rPr>
        <vertAlign val="subscript"/>
        <sz val="10"/>
        <rFont val="Arial"/>
        <family val="2"/>
      </rPr>
      <t>s</t>
    </r>
  </si>
  <si>
    <t>Biến dạng của cốt thép chịu nén</t>
  </si>
  <si>
    <t>a'</t>
  </si>
  <si>
    <t>Chiều cao mặt cắt chịu nén</t>
  </si>
  <si>
    <t>Hệ số sức kháng khống chế kéo</t>
  </si>
  <si>
    <t>Phá hoại cân bằng ứng suất trong bê tông đạt tối đa cốt thép bắt đẩu chảy</t>
  </si>
  <si>
    <t>ɛcl=0.0021</t>
  </si>
  <si>
    <t>Phá hoại khống chế khéo Ứng suất trong cốt thép đạt đến ứng suất chảy dẻo cho phép bê tông bị phá hoại</t>
  </si>
  <si>
    <t>ɛcl=0.005</t>
  </si>
  <si>
    <t>Tổ hợp lực</t>
  </si>
  <si>
    <t>Pr (KN)</t>
  </si>
  <si>
    <t>Mr (KN.m)</t>
  </si>
  <si>
    <t>Tiến hành tính toán thử dần với các giá trị c</t>
  </si>
  <si>
    <t>STT</t>
  </si>
  <si>
    <t>c (mm)</t>
  </si>
  <si>
    <t>a (mm)</t>
  </si>
  <si>
    <r>
      <t>ɛ</t>
    </r>
    <r>
      <rPr>
        <vertAlign val="subscript"/>
        <sz val="10"/>
        <rFont val="Arial"/>
        <family val="2"/>
      </rPr>
      <t>s</t>
    </r>
  </si>
  <si>
    <t>fs</t>
  </si>
  <si>
    <r>
      <t>A</t>
    </r>
    <r>
      <rPr>
        <vertAlign val="subscript"/>
        <sz val="10"/>
        <rFont val="Arial"/>
        <family val="2"/>
      </rPr>
      <t>s</t>
    </r>
    <r>
      <rPr>
        <sz val="10"/>
        <rFont val="Arial"/>
        <family val="2"/>
      </rPr>
      <t>f</t>
    </r>
    <r>
      <rPr>
        <vertAlign val="subscript"/>
        <sz val="10"/>
        <rFont val="Arial"/>
        <family val="2"/>
      </rPr>
      <t>s</t>
    </r>
    <r>
      <rPr>
        <sz val="10"/>
        <rFont val="Arial"/>
        <family val="2"/>
      </rPr>
      <t xml:space="preserve"> (KN)</t>
    </r>
  </si>
  <si>
    <r>
      <t>A</t>
    </r>
    <r>
      <rPr>
        <vertAlign val="subscript"/>
        <sz val="10"/>
        <rFont val="Arial"/>
        <family val="2"/>
      </rPr>
      <t>s'</t>
    </r>
    <r>
      <rPr>
        <sz val="10"/>
        <rFont val="Arial"/>
        <family val="2"/>
      </rPr>
      <t>f</t>
    </r>
    <r>
      <rPr>
        <vertAlign val="subscript"/>
        <sz val="10"/>
        <rFont val="Arial"/>
        <family val="2"/>
      </rPr>
      <t>s'</t>
    </r>
  </si>
  <si>
    <r>
      <t>K</t>
    </r>
    <r>
      <rPr>
        <vertAlign val="subscript"/>
        <sz val="10"/>
        <rFont val="Arial"/>
        <family val="2"/>
      </rPr>
      <t>c</t>
    </r>
    <r>
      <rPr>
        <sz val="10"/>
        <rFont val="Arial"/>
        <family val="2"/>
      </rPr>
      <t>f'c(ba-A</t>
    </r>
    <r>
      <rPr>
        <vertAlign val="subscript"/>
        <sz val="10"/>
        <rFont val="Arial"/>
        <family val="2"/>
      </rPr>
      <t>s</t>
    </r>
    <r>
      <rPr>
        <sz val="10"/>
        <rFont val="Arial"/>
        <family val="2"/>
      </rPr>
      <t>') (KN)</t>
    </r>
  </si>
  <si>
    <t>c/ds</t>
  </si>
  <si>
    <t>Tổ hợp sức kháng theo giá trị c</t>
  </si>
  <si>
    <t>Tổ hợp sức kháng theo biểu đồ tương tác M-P</t>
  </si>
  <si>
    <t>Tổ hợp nội lực kiểm tra</t>
  </si>
  <si>
    <t>Pu</t>
  </si>
  <si>
    <t>Mu</t>
  </si>
  <si>
    <r>
      <t>e</t>
    </r>
    <r>
      <rPr>
        <vertAlign val="subscript"/>
        <sz val="10"/>
        <rFont val="Arial"/>
        <family val="2"/>
      </rPr>
      <t>x</t>
    </r>
  </si>
  <si>
    <r>
      <t>Góc lệch e</t>
    </r>
    <r>
      <rPr>
        <vertAlign val="subscript"/>
        <sz val="10"/>
        <rFont val="Arial"/>
        <family val="2"/>
      </rPr>
      <t>x</t>
    </r>
  </si>
  <si>
    <t>Nếu lực tính toán dọc trục không nhỏ hơn</t>
  </si>
  <si>
    <t>Ta kiểm toán theo công thức</t>
  </si>
  <si>
    <t xml:space="preserve">Trong đó </t>
  </si>
  <si>
    <t>5.5.4.2</t>
  </si>
  <si>
    <t>Nếu tải trọng tính toán dọc trục nhỏ hơn</t>
  </si>
  <si>
    <r>
      <t>P</t>
    </r>
    <r>
      <rPr>
        <vertAlign val="subscript"/>
        <sz val="10"/>
        <rFont val="Arial"/>
        <family val="2"/>
      </rPr>
      <t>rxy</t>
    </r>
  </si>
  <si>
    <t>Sức kháng dọc trục tính toán khi uốn theo hai phương</t>
  </si>
  <si>
    <r>
      <t>P</t>
    </r>
    <r>
      <rPr>
        <vertAlign val="subscript"/>
        <sz val="10"/>
        <rFont val="Arial"/>
        <family val="2"/>
      </rPr>
      <t>rx</t>
    </r>
  </si>
  <si>
    <r>
      <t>Sức kháng dọc trục tính toán theo độ lệch tâm e</t>
    </r>
    <r>
      <rPr>
        <vertAlign val="subscript"/>
        <sz val="10"/>
        <rFont val="Arial"/>
        <family val="2"/>
      </rPr>
      <t>y</t>
    </r>
  </si>
  <si>
    <r>
      <t>P</t>
    </r>
    <r>
      <rPr>
        <vertAlign val="subscript"/>
        <sz val="10"/>
        <rFont val="Arial"/>
        <family val="2"/>
      </rPr>
      <t>ry</t>
    </r>
  </si>
  <si>
    <r>
      <t>Sức kháng dọc trục tính toán theo độ lệch tâm e</t>
    </r>
    <r>
      <rPr>
        <vertAlign val="subscript"/>
        <sz val="10"/>
        <rFont val="Arial"/>
        <family val="2"/>
      </rPr>
      <t>x</t>
    </r>
  </si>
  <si>
    <t>Lực dọc trục tính toán</t>
  </si>
  <si>
    <r>
      <t>P</t>
    </r>
    <r>
      <rPr>
        <vertAlign val="subscript"/>
        <sz val="10"/>
        <rFont val="Arial"/>
        <family val="2"/>
      </rPr>
      <t>o</t>
    </r>
  </si>
  <si>
    <t>Sức kháng dọc trục danh định của mặt cắt với độ lệch tâm 0,0</t>
  </si>
  <si>
    <t>Độ lệch tâm của lực dọc trục tính toán tác dụng theo hướng trục X</t>
  </si>
  <si>
    <r>
      <t>e</t>
    </r>
    <r>
      <rPr>
        <vertAlign val="subscript"/>
        <sz val="10"/>
        <rFont val="Arial"/>
        <family val="2"/>
      </rPr>
      <t>y</t>
    </r>
  </si>
  <si>
    <t>Độ lệch tâm của lực dọc trục tính toán tác dụng theo hướng trục Y</t>
  </si>
  <si>
    <t>Mux</t>
  </si>
  <si>
    <t>Mô men tính toán tác dụng theo trục X</t>
  </si>
  <si>
    <t>Muy</t>
  </si>
  <si>
    <t>Mô men tính toán tác dụng theo trục Y</t>
  </si>
  <si>
    <r>
      <t>M</t>
    </r>
    <r>
      <rPr>
        <vertAlign val="subscript"/>
        <sz val="10"/>
        <rFont val="Arial"/>
        <family val="2"/>
      </rPr>
      <t>rx</t>
    </r>
  </si>
  <si>
    <r>
      <t>Sức kháng uốn tính toán theo độ lệch tâm e</t>
    </r>
    <r>
      <rPr>
        <vertAlign val="subscript"/>
        <sz val="10"/>
        <rFont val="Arial"/>
        <family val="2"/>
      </rPr>
      <t>y</t>
    </r>
  </si>
  <si>
    <r>
      <t>M</t>
    </r>
    <r>
      <rPr>
        <vertAlign val="subscript"/>
        <sz val="10"/>
        <rFont val="Arial"/>
        <family val="2"/>
      </rPr>
      <t>ry</t>
    </r>
  </si>
  <si>
    <r>
      <t>Sức kháng uốn toán theo độ lệch tâm e</t>
    </r>
    <r>
      <rPr>
        <vertAlign val="subscript"/>
        <sz val="10"/>
        <rFont val="Arial"/>
        <family val="2"/>
      </rPr>
      <t>x</t>
    </r>
  </si>
  <si>
    <t xml:space="preserve">Vậy ta sử dụng công thức </t>
  </si>
  <si>
    <t>để kiểm tra</t>
  </si>
  <si>
    <t>Sức kháng tính toán theo phương Y</t>
  </si>
  <si>
    <r>
      <t>P</t>
    </r>
    <r>
      <rPr>
        <vertAlign val="subscript"/>
        <sz val="10"/>
        <rFont val="Arial"/>
        <family val="2"/>
      </rPr>
      <t>u</t>
    </r>
  </si>
  <si>
    <r>
      <t>M</t>
    </r>
    <r>
      <rPr>
        <vertAlign val="subscript"/>
        <sz val="10"/>
        <rFont val="Arial"/>
        <family val="2"/>
      </rPr>
      <t>uy</t>
    </r>
  </si>
  <si>
    <r>
      <t>P</t>
    </r>
    <r>
      <rPr>
        <vertAlign val="subscript"/>
        <sz val="10"/>
        <rFont val="Arial"/>
        <family val="2"/>
      </rPr>
      <t>u</t>
    </r>
    <r>
      <rPr>
        <sz val="10"/>
        <rFont val="Arial"/>
        <family val="2"/>
      </rPr>
      <t>/P</t>
    </r>
    <r>
      <rPr>
        <vertAlign val="subscript"/>
        <sz val="10"/>
        <rFont val="Arial"/>
        <family val="2"/>
      </rPr>
      <t>ry</t>
    </r>
  </si>
  <si>
    <t>Hệ số P</t>
  </si>
  <si>
    <r>
      <t>M</t>
    </r>
    <r>
      <rPr>
        <vertAlign val="subscript"/>
        <sz val="10"/>
        <rFont val="Arial"/>
        <family val="2"/>
      </rPr>
      <t>uy</t>
    </r>
    <r>
      <rPr>
        <sz val="10"/>
        <rFont val="Arial"/>
        <family val="2"/>
      </rPr>
      <t>/M</t>
    </r>
    <r>
      <rPr>
        <vertAlign val="subscript"/>
        <sz val="10"/>
        <rFont val="Arial"/>
        <family val="2"/>
      </rPr>
      <t>ry</t>
    </r>
  </si>
  <si>
    <t>Hệ số M</t>
  </si>
  <si>
    <t>3.5 Kiểm toán hàm lượng cốt thép tối thiểu</t>
  </si>
  <si>
    <t>Bất kỳ một mặt cắt nào đó của cấu kiện chịu uốn không khống chế nén, lượng cốt thép thường và cốt thép dự ứng lực chịu kéo phải đủ để phát triển sức kháng uốn tính toán, Mr ít nhất bằng một trong hai giá trị sau đây lấy giá trị nhỏ hơn:</t>
  </si>
  <si>
    <t>5.7.3.3</t>
  </si>
  <si>
    <t>1,33 lần mômen tính toán cần thiết Mu</t>
  </si>
  <si>
    <t>Momen gây nứt Mcr</t>
  </si>
  <si>
    <r>
      <t>ᵧ</t>
    </r>
    <r>
      <rPr>
        <vertAlign val="subscript"/>
        <sz val="11"/>
        <rFont val="Arial"/>
        <family val="2"/>
      </rPr>
      <t>1</t>
    </r>
  </si>
  <si>
    <r>
      <t>ᵧ</t>
    </r>
    <r>
      <rPr>
        <vertAlign val="subscript"/>
        <sz val="11"/>
        <rFont val="Arial"/>
        <family val="2"/>
      </rPr>
      <t>2</t>
    </r>
    <r>
      <rPr>
        <b/>
        <sz val="10"/>
        <rFont val="Arial"/>
        <family val="2"/>
      </rPr>
      <t/>
    </r>
  </si>
  <si>
    <r>
      <t>ᵧ</t>
    </r>
    <r>
      <rPr>
        <vertAlign val="subscript"/>
        <sz val="11"/>
        <rFont val="Arial"/>
        <family val="2"/>
      </rPr>
      <t>3</t>
    </r>
    <r>
      <rPr>
        <b/>
        <sz val="10"/>
        <rFont val="Arial"/>
        <family val="2"/>
      </rPr>
      <t/>
    </r>
  </si>
  <si>
    <t>Mr ≥ min(1,33Mu;Mcr)</t>
  </si>
  <si>
    <t>Sc</t>
  </si>
  <si>
    <t>Momen tĩnh</t>
  </si>
  <si>
    <t>:</t>
  </si>
  <si>
    <t>mm3</t>
  </si>
  <si>
    <t>Cho kết cấu đúc sẵn lắp ghép</t>
  </si>
  <si>
    <t>Cho tất cả các kết cấu bê tông khác</t>
  </si>
  <si>
    <t>Cho bó thép dính bám</t>
  </si>
  <si>
    <t>Cho bó thép không dính bám</t>
  </si>
  <si>
    <t>Cho cốt thép A615 cấp 420</t>
  </si>
  <si>
    <t>Cho cốt thép A706 cấp 420</t>
  </si>
  <si>
    <t>Cho thép dự ứng lực</t>
  </si>
  <si>
    <t>Mcr</t>
  </si>
  <si>
    <t>Momen nứt</t>
  </si>
  <si>
    <t>1.33Mu</t>
  </si>
  <si>
    <t>Momen uốn</t>
  </si>
  <si>
    <t>Hệ số sức kháng uốn</t>
  </si>
  <si>
    <t>min(1,33Mu;Mcr)</t>
  </si>
  <si>
    <t>Kiểm tra</t>
  </si>
  <si>
    <t>3.6 Kiểm toán chịu cắt</t>
  </si>
  <si>
    <t>Vu &lt; ɸ . Vn</t>
  </si>
  <si>
    <t>5.8.3.3</t>
  </si>
  <si>
    <t>Vn được tính bằng giá trị hơn trong 2 giá trị sau đây</t>
  </si>
  <si>
    <t>Phương pháp sử dụng: Phương pháp tổng quát (a)</t>
  </si>
  <si>
    <t>(1 bê tông thường,2 bê tông nhẹ)</t>
  </si>
  <si>
    <t>ɸ</t>
  </si>
  <si>
    <t>Hệ số sức kháng cắt</t>
  </si>
  <si>
    <t>ag</t>
  </si>
  <si>
    <t>D cốt liệu lớn nhất</t>
  </si>
  <si>
    <r>
      <t>S</t>
    </r>
    <r>
      <rPr>
        <vertAlign val="subscript"/>
        <sz val="10"/>
        <rFont val="Arial"/>
        <family val="2"/>
      </rPr>
      <t>x</t>
    </r>
  </si>
  <si>
    <t xml:space="preserve">Momen tính toán </t>
  </si>
  <si>
    <t>de</t>
  </si>
  <si>
    <t>Nu</t>
  </si>
  <si>
    <t>Vu</t>
  </si>
  <si>
    <r>
      <t>S</t>
    </r>
    <r>
      <rPr>
        <vertAlign val="subscript"/>
        <sz val="10"/>
        <rFont val="Arial"/>
        <family val="2"/>
      </rPr>
      <t>xe</t>
    </r>
  </si>
  <si>
    <t>Khoảng cách vết nứt</t>
  </si>
  <si>
    <t xml:space="preserve"> Nu</t>
  </si>
  <si>
    <t>Lực dọc tính toán</t>
  </si>
  <si>
    <r>
      <t>b</t>
    </r>
    <r>
      <rPr>
        <vertAlign val="subscript"/>
        <sz val="10"/>
        <rFont val="Arial"/>
        <family val="2"/>
      </rPr>
      <t>v</t>
    </r>
  </si>
  <si>
    <t xml:space="preserve">Bề rộng bản bụng có hiệu </t>
  </si>
  <si>
    <t>Lực cắt tính toán</t>
  </si>
  <si>
    <t>Kn</t>
  </si>
  <si>
    <r>
      <t>d</t>
    </r>
    <r>
      <rPr>
        <vertAlign val="subscript"/>
        <sz val="10"/>
        <rFont val="Arial"/>
        <family val="2"/>
      </rPr>
      <t>v</t>
    </r>
  </si>
  <si>
    <t xml:space="preserve">Chiều cao chịu cắt có hiệu </t>
  </si>
  <si>
    <t>Ɛs</t>
  </si>
  <si>
    <t>Ứng biến kéo dọc</t>
  </si>
  <si>
    <r>
      <rPr>
        <sz val="11.5"/>
        <rFont val="Yu Gothic UI Semibold"/>
        <family val="2"/>
      </rPr>
      <t>ν</t>
    </r>
    <r>
      <rPr>
        <vertAlign val="subscript"/>
        <sz val="10"/>
        <rFont val="Arial"/>
        <family val="2"/>
      </rPr>
      <t>u</t>
    </r>
  </si>
  <si>
    <t>Ứng suất cắt trong bê tông</t>
  </si>
  <si>
    <t>θ</t>
  </si>
  <si>
    <t>Góc nghiêng ứng suất nén</t>
  </si>
  <si>
    <t>độ</t>
  </si>
  <si>
    <r>
      <t>S</t>
    </r>
    <r>
      <rPr>
        <vertAlign val="subscript"/>
        <sz val="10"/>
        <rFont val="Arial"/>
        <family val="2"/>
      </rPr>
      <t>max</t>
    </r>
  </si>
  <si>
    <t>Cự li cốt thép đai tính toán</t>
  </si>
  <si>
    <t xml:space="preserve">β </t>
  </si>
  <si>
    <t>Hệ số khả năng truyền lực</t>
  </si>
  <si>
    <t>S</t>
  </si>
  <si>
    <t>Cự li cốt thép đai thiết kế</t>
  </si>
  <si>
    <t>α</t>
  </si>
  <si>
    <t>Góc nghiêng của cốt đai</t>
  </si>
  <si>
    <t>Ds</t>
  </si>
  <si>
    <t>Đường kính thép đai</t>
  </si>
  <si>
    <t xml:space="preserve">Vc </t>
  </si>
  <si>
    <t>n</t>
  </si>
  <si>
    <t>Số lượng thanh cốt đai</t>
  </si>
  <si>
    <t>Vs</t>
  </si>
  <si>
    <t>Av</t>
  </si>
  <si>
    <t>Diện tích cốt thép chịu cắt</t>
  </si>
  <si>
    <t xml:space="preserve"> ɸ . Vn</t>
  </si>
  <si>
    <t>Kiểm tra  ɸ . Vn&gt; Vu</t>
  </si>
  <si>
    <t>5.8.2.4</t>
  </si>
  <si>
    <t>Kiểm tra vùng đòi hỏi cốt thép ngang</t>
  </si>
  <si>
    <t>5.8.2.5</t>
  </si>
  <si>
    <t>Hàm lượng cốt thép ngang tối thiểu tính theo công thức sau:</t>
  </si>
  <si>
    <r>
      <t>A</t>
    </r>
    <r>
      <rPr>
        <vertAlign val="subscript"/>
        <sz val="10"/>
        <rFont val="Arial"/>
        <family val="2"/>
      </rPr>
      <t>vmin</t>
    </r>
  </si>
  <si>
    <t>Hàm lượng cốt thép tối thiểu</t>
  </si>
  <si>
    <r>
      <t>Kiểm tra hàm lương cốt thép tối thiểu A</t>
    </r>
    <r>
      <rPr>
        <vertAlign val="subscript"/>
        <sz val="10"/>
        <rFont val="Arial"/>
        <family val="2"/>
      </rPr>
      <t>v</t>
    </r>
    <r>
      <rPr>
        <sz val="10"/>
        <rFont val="Arial"/>
        <family val="2"/>
      </rPr>
      <t>&gt;=A</t>
    </r>
    <r>
      <rPr>
        <vertAlign val="subscript"/>
        <sz val="10"/>
        <rFont val="Arial"/>
        <family val="2"/>
      </rPr>
      <t>vmin</t>
    </r>
  </si>
  <si>
    <t>3.7 Kiểm toán cốt thép dọc</t>
  </si>
  <si>
    <t>Kéo</t>
  </si>
  <si>
    <t>cắt</t>
  </si>
  <si>
    <t>nén</t>
  </si>
  <si>
    <t>Tại mỗi mặt cắt, phải bố trí đủ cốt thép dọc để khả năng chịu kéo của cốt thép dọc ở phía chịu kéo do uốn của cấu kiện thỏa mãn</t>
  </si>
  <si>
    <t>Tổ hợp sử dụng: TTGHCĐ</t>
  </si>
  <si>
    <t>thép thường</t>
  </si>
  <si>
    <t>bê tông thường</t>
  </si>
  <si>
    <t>ép tự bê tông</t>
  </si>
  <si>
    <t>Dưl</t>
  </si>
  <si>
    <t>bê tông nhẹ</t>
  </si>
  <si>
    <t>Vùng động đất 2,3</t>
  </si>
  <si>
    <t>Sức kháng cắt do cốt thép ngang tại mặt cắt đang xét, nhưng Vs phải không được lấy lớn hơn Vu/Փ</t>
  </si>
  <si>
    <t>Mô hình chống giắng</t>
  </si>
  <si>
    <t>nén Vùng neo bt thường</t>
  </si>
  <si>
    <r>
      <t>Փ</t>
    </r>
    <r>
      <rPr>
        <vertAlign val="subscript"/>
        <sz val="10"/>
        <rFont val="Arial"/>
        <family val="2"/>
      </rPr>
      <t>v</t>
    </r>
  </si>
  <si>
    <t>Hệ số sức kháng cắt và xoắn</t>
  </si>
  <si>
    <t>nén Vùng neo bt nhẹ</t>
  </si>
  <si>
    <r>
      <t>Փ</t>
    </r>
    <r>
      <rPr>
        <vertAlign val="subscript"/>
        <sz val="10"/>
        <rFont val="Arial"/>
        <family val="2"/>
      </rPr>
      <t>f</t>
    </r>
  </si>
  <si>
    <t xml:space="preserve">Hệ số sức kháng momen </t>
  </si>
  <si>
    <t>Kéo trong vùng neo</t>
  </si>
  <si>
    <r>
      <t>Փ</t>
    </r>
    <r>
      <rPr>
        <vertAlign val="subscript"/>
        <sz val="10"/>
        <rFont val="Arial"/>
        <family val="2"/>
      </rPr>
      <t>c</t>
    </r>
  </si>
  <si>
    <t>Hệ số sức kháng dọc trục</t>
  </si>
  <si>
    <t>sức kháng đóng cọc</t>
  </si>
  <si>
    <t>Vế trái</t>
  </si>
  <si>
    <t>Vế phải</t>
  </si>
  <si>
    <t>Kiểm toán hàm lượng cốt thép dọc</t>
  </si>
  <si>
    <t>3.8 Khống chế vết nứt bằng phân bố cốt thép</t>
  </si>
  <si>
    <t>5.7.3.4</t>
  </si>
  <si>
    <t>Để khống chế nứt, khoảng cách cốt thép thường trong lớp gần nhất với mặt chịu kéo phải thỏa mãn điều kiện:</t>
  </si>
  <si>
    <r>
      <t>Trong đó giá trị β</t>
    </r>
    <r>
      <rPr>
        <vertAlign val="subscript"/>
        <sz val="10"/>
        <rFont val="Arial"/>
        <family val="2"/>
      </rPr>
      <t>s</t>
    </r>
    <r>
      <rPr>
        <sz val="10"/>
        <rFont val="Arial"/>
        <family val="2"/>
      </rPr>
      <t xml:space="preserve"> tính theo công thức sau :</t>
    </r>
  </si>
  <si>
    <t>Momen TTGHSD</t>
  </si>
  <si>
    <r>
      <t>f</t>
    </r>
    <r>
      <rPr>
        <vertAlign val="subscript"/>
        <sz val="10"/>
        <rFont val="Arial"/>
        <family val="2"/>
      </rPr>
      <t>ss</t>
    </r>
  </si>
  <si>
    <r>
      <t>Ứng suất trong cốt thép không quá 0.6fy,  f</t>
    </r>
    <r>
      <rPr>
        <vertAlign val="subscript"/>
        <sz val="10"/>
        <rFont val="Arial"/>
        <family val="2"/>
      </rPr>
      <t>ss</t>
    </r>
    <r>
      <rPr>
        <sz val="10"/>
        <rFont val="Arial"/>
        <family val="2"/>
      </rPr>
      <t>=Mu/(A</t>
    </r>
    <r>
      <rPr>
        <vertAlign val="subscript"/>
        <sz val="10"/>
        <rFont val="Arial"/>
        <family val="2"/>
      </rPr>
      <t>s</t>
    </r>
    <r>
      <rPr>
        <sz val="10"/>
        <rFont val="Arial"/>
        <family val="2"/>
      </rPr>
      <t>xd</t>
    </r>
    <r>
      <rPr>
        <vertAlign val="subscript"/>
        <sz val="10"/>
        <rFont val="Arial"/>
        <family val="2"/>
      </rPr>
      <t>e</t>
    </r>
    <r>
      <rPr>
        <sz val="10"/>
        <rFont val="Arial"/>
        <family val="2"/>
      </rPr>
      <t>)</t>
    </r>
  </si>
  <si>
    <r>
      <t>γ</t>
    </r>
    <r>
      <rPr>
        <vertAlign val="subscript"/>
        <sz val="10"/>
        <rFont val="Arial"/>
        <family val="2"/>
      </rPr>
      <t>e</t>
    </r>
  </si>
  <si>
    <t>Hệ số phơi lộ bề mặt</t>
  </si>
  <si>
    <t>βs</t>
  </si>
  <si>
    <t>Cự ly cốt thép chịu kéo lớp gần nhất</t>
  </si>
  <si>
    <t>Kiểm tra ứng suất của thép</t>
  </si>
  <si>
    <t xml:space="preserve">Kiểm tra khoảng cách cốt thép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</si>
</sst>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_(* \(#,##0.00\);_(* &quot;-&quot;??_);_(@_)"/>
    <numFmt numFmtId="164" formatCode="&quot;= &quot;* 0.00;&quot;= &quot;* \-0.00;&quot;-&quot;"/>
    <numFmt numFmtId="165" formatCode="&quot;= &quot;* 0.0;&quot;= &quot;* \-0.0;&quot;-&quot;"/>
    <numFmt numFmtId="166" formatCode="0.00;\-0.00;\-;@\ \ \ "/>
    <numFmt numFmtId="167" formatCode="0.00000"/>
    <numFmt numFmtId="168" formatCode="0.000_#;\-0.000_#;&quot;-  &quot;"/>
    <numFmt numFmtId="169" formatCode="0.00_#;\-0.00_#;&quot;-  &quot;"/>
    <numFmt numFmtId="170" formatCode="0.0_#;\-0.0_#;&quot;-  &quot;"/>
    <numFmt numFmtId="171" formatCode="0.000000;\-0.000000;\-;@\ \ \ "/>
  </numFmts>
  <fonts count="19">
    <font>
      <sz val="11"/>
      <color theme="1"/>
      <name val="Arial"/>
      <family val="2"/>
      <scheme val="minor"/>
    </font>
    <font>
      <sz val="10"/>
      <color rgb="FFFF0000"/>
      <name val="Arial"/>
      <family val="2"/>
    </font>
    <font>
      <sz val="10"/>
      <name val="Arial"/>
      <family val="2"/>
    </font>
    <font>
      <b/>
      <sz val="11"/>
      <name val="Arial"/>
      <family val="2"/>
      <scheme val="minor"/>
    </font>
    <font>
      <vertAlign val="subscript"/>
      <sz val="10"/>
      <name val="Arial"/>
      <family val="2"/>
    </font>
    <font>
      <b/>
      <sz val="10"/>
      <color rgb="FFFF0000"/>
      <name val="Arial"/>
      <family val="2"/>
    </font>
    <font>
      <sz val="10"/>
      <name val="Arial"/>
      <family val="1"/>
      <charset val="2"/>
    </font>
    <font>
      <sz val="10"/>
      <name val="Symbol"/>
      <family val="1"/>
      <charset val="2"/>
    </font>
    <font>
      <b/>
      <sz val="10"/>
      <name val="Arial"/>
      <family val="2"/>
    </font>
    <font>
      <vertAlign val="superscript"/>
      <sz val="10"/>
      <name val="Arial"/>
      <family val="2"/>
    </font>
    <font>
      <sz val="10"/>
      <name val=".VnArial"/>
      <family val="2"/>
    </font>
    <font>
      <sz val="10"/>
      <name val="Arial"/>
      <family val="2"/>
      <scheme val="minor"/>
    </font>
    <font>
      <sz val="11"/>
      <name val="Arial"/>
      <family val="2"/>
      <scheme val="minor"/>
    </font>
    <font>
      <sz val="15"/>
      <name val="Arial"/>
      <family val="2"/>
    </font>
    <font>
      <vertAlign val="subscript"/>
      <sz val="11"/>
      <name val="Arial"/>
      <family val="2"/>
    </font>
    <font>
      <sz val="10"/>
      <color rgb="FFFF0000"/>
      <name val="Arial"/>
      <family val="2"/>
      <scheme val="minor"/>
    </font>
    <font>
      <sz val="11.5"/>
      <name val="Yu Gothic UI Semibold"/>
      <family val="2"/>
    </font>
    <font>
      <b/>
      <sz val="9"/>
      <color indexed="81"/>
      <name val="Tahoma"/>
      <family val="2"/>
    </font>
    <font>
      <sz val="9"/>
      <color indexed="81"/>
      <name val="Tahoma"/>
      <family val="2"/>
    </font>
  </fonts>
  <fills count="3">
    <fill>
      <patternFill patternType="none"/>
    </fill>
    <fill>
      <patternFill patternType="gray125"/>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76">
    <xf numFmtId="0" fontId="0" fillId="0" borderId="0" xfId="0"/>
    <xf numFmtId="0" fontId="3" fillId="0" borderId="0" xfId="1" applyFont="1" applyAlignment="1" applyProtection="1">
      <alignment horizontal="left" vertical="center"/>
      <protection hidden="1"/>
    </xf>
    <xf numFmtId="0" fontId="2" fillId="0" borderId="0" xfId="1"/>
    <xf numFmtId="0" fontId="2" fillId="0" borderId="0" xfId="1" applyAlignment="1" applyProtection="1">
      <alignment vertical="center"/>
      <protection hidden="1"/>
    </xf>
    <xf numFmtId="0" fontId="2" fillId="0" borderId="0" xfId="1" applyAlignment="1" applyProtection="1">
      <alignment horizontal="left" vertical="center"/>
      <protection hidden="1"/>
    </xf>
    <xf numFmtId="164" fontId="5" fillId="0" borderId="0" xfId="1" applyNumberFormat="1" applyFont="1" applyAlignment="1" applyProtection="1">
      <alignment horizontal="center" vertical="center"/>
      <protection locked="0"/>
    </xf>
    <xf numFmtId="0" fontId="2" fillId="0" borderId="0" xfId="1" applyAlignment="1" applyProtection="1">
      <alignment horizontal="right" vertical="center"/>
      <protection hidden="1"/>
    </xf>
    <xf numFmtId="0" fontId="6" fillId="0" borderId="0" xfId="1" applyFont="1"/>
    <xf numFmtId="165" fontId="8" fillId="0" borderId="0" xfId="1" applyNumberFormat="1" applyFont="1" applyAlignment="1" applyProtection="1">
      <alignment horizontal="center" vertical="center"/>
      <protection locked="0"/>
    </xf>
    <xf numFmtId="0" fontId="2" fillId="0" borderId="0" xfId="1" applyAlignment="1">
      <alignment horizontal="right"/>
    </xf>
    <xf numFmtId="164" fontId="8" fillId="0" borderId="0" xfId="1" applyNumberFormat="1" applyFont="1" applyAlignment="1" applyProtection="1">
      <alignment horizontal="center" vertical="center"/>
      <protection locked="0"/>
    </xf>
    <xf numFmtId="0" fontId="10" fillId="0" borderId="0" xfId="1" applyFont="1" applyAlignment="1" applyProtection="1">
      <alignment horizontal="right" vertical="center"/>
      <protection hidden="1"/>
    </xf>
    <xf numFmtId="165" fontId="5" fillId="0" borderId="0" xfId="1" applyNumberFormat="1" applyFont="1" applyAlignment="1" applyProtection="1">
      <alignment horizontal="center" vertical="center"/>
      <protection locked="0"/>
    </xf>
    <xf numFmtId="0" fontId="11" fillId="0" borderId="1" xfId="1" applyFont="1" applyBorder="1" applyAlignment="1">
      <alignment horizontal="center" vertical="center"/>
    </xf>
    <xf numFmtId="0" fontId="11" fillId="0" borderId="2" xfId="1" applyFont="1" applyBorder="1" applyAlignment="1">
      <alignment horizontal="center" vertical="center" wrapText="1"/>
    </xf>
    <xf numFmtId="0" fontId="11" fillId="0" borderId="3"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1" xfId="1" applyFont="1" applyBorder="1" applyAlignment="1">
      <alignment horizontal="center" vertical="center"/>
    </xf>
    <xf numFmtId="0" fontId="11" fillId="0" borderId="5" xfId="1" applyFont="1" applyBorder="1" applyAlignment="1">
      <alignment horizontal="center" vertical="center" wrapText="1"/>
    </xf>
    <xf numFmtId="0" fontId="11" fillId="0" borderId="6" xfId="1" applyFont="1" applyBorder="1" applyAlignment="1">
      <alignment horizontal="center" vertical="center" wrapText="1"/>
    </xf>
    <xf numFmtId="0" fontId="11" fillId="0" borderId="7" xfId="1" applyFont="1" applyBorder="1" applyAlignment="1">
      <alignment horizontal="center" vertical="center" wrapText="1"/>
    </xf>
    <xf numFmtId="0" fontId="2" fillId="2" borderId="0" xfId="1" applyFill="1"/>
    <xf numFmtId="0" fontId="11" fillId="0" borderId="1" xfId="1" applyFont="1" applyBorder="1" applyAlignment="1">
      <alignment vertical="center"/>
    </xf>
    <xf numFmtId="166" fontId="11" fillId="0" borderId="1" xfId="1" applyNumberFormat="1" applyFont="1" applyBorder="1" applyAlignment="1">
      <alignment horizontal="center" vertical="center"/>
    </xf>
    <xf numFmtId="166" fontId="11" fillId="0" borderId="1" xfId="1" applyNumberFormat="1" applyFont="1" applyBorder="1" applyAlignment="1">
      <alignment vertical="center"/>
    </xf>
    <xf numFmtId="166" fontId="2" fillId="0" borderId="0" xfId="1" applyNumberFormat="1"/>
    <xf numFmtId="0" fontId="12" fillId="0" borderId="0" xfId="1" applyFont="1" applyAlignment="1" applyProtection="1">
      <alignment horizontal="left" vertical="center"/>
      <protection hidden="1"/>
    </xf>
    <xf numFmtId="0" fontId="2" fillId="0" borderId="0" xfId="1" applyAlignment="1">
      <alignment horizontal="center"/>
    </xf>
    <xf numFmtId="0" fontId="2" fillId="0" borderId="0" xfId="1" applyAlignment="1">
      <alignment horizontal="center" vertical="center"/>
    </xf>
    <xf numFmtId="0" fontId="1" fillId="2" borderId="0" xfId="1" applyFont="1" applyFill="1" applyAlignment="1">
      <alignment horizontal="center"/>
    </xf>
    <xf numFmtId="0" fontId="1" fillId="2" borderId="0" xfId="1" applyFont="1" applyFill="1" applyAlignment="1">
      <alignment horizontal="center"/>
    </xf>
    <xf numFmtId="2" fontId="2" fillId="0" borderId="0" xfId="1" applyNumberFormat="1" applyAlignment="1" applyProtection="1">
      <alignment horizontal="center" vertical="center"/>
      <protection locked="0"/>
    </xf>
    <xf numFmtId="43" fontId="2" fillId="0" borderId="0" xfId="1" applyNumberFormat="1"/>
    <xf numFmtId="164" fontId="8" fillId="0" borderId="0" xfId="1" applyNumberFormat="1" applyFont="1" applyAlignment="1" applyProtection="1">
      <alignment horizontal="center" vertical="center"/>
      <protection locked="0"/>
    </xf>
    <xf numFmtId="0" fontId="7" fillId="0" borderId="0" xfId="1" applyFont="1" applyAlignment="1">
      <alignment horizontal="center" vertical="center"/>
    </xf>
    <xf numFmtId="0" fontId="2" fillId="0" borderId="0" xfId="1" applyAlignment="1">
      <alignment horizontal="left" vertical="center" wrapText="1"/>
    </xf>
    <xf numFmtId="0" fontId="2" fillId="0" borderId="0" xfId="1" applyAlignment="1">
      <alignment vertical="center" wrapText="1"/>
    </xf>
    <xf numFmtId="0" fontId="1" fillId="0" borderId="0" xfId="1" applyFont="1"/>
    <xf numFmtId="2" fontId="2" fillId="0" borderId="0" xfId="1" applyNumberFormat="1" applyAlignment="1" applyProtection="1">
      <alignment horizontal="center" vertical="center"/>
      <protection locked="0"/>
    </xf>
    <xf numFmtId="0" fontId="2" fillId="0" borderId="1" xfId="1" applyBorder="1" applyAlignment="1">
      <alignment horizontal="center"/>
    </xf>
    <xf numFmtId="0" fontId="2" fillId="0" borderId="1" xfId="1" applyBorder="1" applyAlignment="1">
      <alignment horizontal="center"/>
    </xf>
    <xf numFmtId="2" fontId="2" fillId="0" borderId="1" xfId="1" applyNumberFormat="1" applyBorder="1" applyAlignment="1">
      <alignment horizontal="center"/>
    </xf>
    <xf numFmtId="0" fontId="2" fillId="0" borderId="1" xfId="1" applyBorder="1" applyAlignment="1">
      <alignment horizontal="center" vertical="center"/>
    </xf>
    <xf numFmtId="2" fontId="2" fillId="0" borderId="0" xfId="1" applyNumberFormat="1" applyAlignment="1">
      <alignment horizontal="center"/>
    </xf>
    <xf numFmtId="2" fontId="2" fillId="0" borderId="1" xfId="1" applyNumberFormat="1" applyBorder="1" applyAlignment="1">
      <alignment horizontal="center" vertical="center"/>
    </xf>
    <xf numFmtId="2" fontId="2" fillId="0" borderId="1" xfId="1" applyNumberFormat="1" applyBorder="1" applyAlignment="1">
      <alignment horizontal="center"/>
    </xf>
    <xf numFmtId="167" fontId="2" fillId="0" borderId="1" xfId="1" applyNumberFormat="1" applyBorder="1" applyAlignment="1">
      <alignment horizontal="center" vertical="center"/>
    </xf>
    <xf numFmtId="0" fontId="2" fillId="0" borderId="8" xfId="1" applyBorder="1" applyAlignment="1">
      <alignment horizontal="center"/>
    </xf>
    <xf numFmtId="0" fontId="2" fillId="0" borderId="1" xfId="1" applyBorder="1" applyAlignment="1">
      <alignment horizontal="center" wrapText="1"/>
    </xf>
    <xf numFmtId="0" fontId="2" fillId="0" borderId="8" xfId="1" applyBorder="1" applyAlignment="1">
      <alignment horizontal="center" wrapText="1"/>
    </xf>
    <xf numFmtId="168" fontId="12" fillId="0" borderId="1" xfId="1" applyNumberFormat="1" applyFont="1" applyBorder="1" applyAlignment="1" applyProtection="1">
      <alignment horizontal="center" vertical="center"/>
      <protection locked="0"/>
    </xf>
    <xf numFmtId="169" fontId="11" fillId="0" borderId="1" xfId="1" applyNumberFormat="1" applyFont="1" applyBorder="1" applyAlignment="1" applyProtection="1">
      <alignment horizontal="center" vertical="center"/>
      <protection locked="0"/>
    </xf>
    <xf numFmtId="167" fontId="2" fillId="0" borderId="0" xfId="1" applyNumberFormat="1" applyAlignment="1">
      <alignment horizontal="center" vertical="center"/>
    </xf>
    <xf numFmtId="0" fontId="2" fillId="0" borderId="0" xfId="1" applyAlignment="1">
      <alignment horizontal="left" vertical="center"/>
    </xf>
    <xf numFmtId="166" fontId="11" fillId="0" borderId="0" xfId="1" applyNumberFormat="1" applyFont="1" applyAlignment="1">
      <alignment horizontal="center" vertical="center"/>
    </xf>
    <xf numFmtId="0" fontId="8" fillId="0" borderId="0" xfId="1" applyFont="1" applyAlignment="1">
      <alignment horizontal="left"/>
    </xf>
    <xf numFmtId="170" fontId="11" fillId="0" borderId="1" xfId="1" applyNumberFormat="1" applyFont="1" applyBorder="1" applyAlignment="1" applyProtection="1">
      <alignment horizontal="center" vertical="center"/>
      <protection locked="0"/>
    </xf>
    <xf numFmtId="0" fontId="8" fillId="0" borderId="0" xfId="1" applyFont="1" applyAlignment="1" applyProtection="1">
      <alignment horizontal="left" vertical="center"/>
      <protection hidden="1"/>
    </xf>
    <xf numFmtId="0" fontId="13" fillId="0" borderId="1" xfId="1" applyFont="1" applyBorder="1" applyAlignment="1" applyProtection="1">
      <alignment horizontal="center"/>
      <protection hidden="1"/>
    </xf>
    <xf numFmtId="0" fontId="2" fillId="0" borderId="1" xfId="1" applyBorder="1" applyAlignment="1" applyProtection="1">
      <alignment horizontal="center"/>
      <protection hidden="1"/>
    </xf>
    <xf numFmtId="0" fontId="13" fillId="0" borderId="0" xfId="1" applyFont="1" applyAlignment="1" applyProtection="1">
      <alignment horizontal="center"/>
      <protection hidden="1"/>
    </xf>
    <xf numFmtId="0" fontId="1" fillId="0" borderId="0" xfId="1" applyFont="1" applyAlignment="1" applyProtection="1">
      <alignment horizontal="center" vertical="center"/>
      <protection hidden="1"/>
    </xf>
    <xf numFmtId="0" fontId="2" fillId="0" borderId="1" xfId="1" applyBorder="1" applyAlignment="1">
      <alignment horizontal="center" vertical="center" wrapText="1"/>
    </xf>
    <xf numFmtId="0" fontId="8" fillId="0" borderId="0" xfId="1" applyFont="1" applyAlignment="1">
      <alignment horizontal="left" vertical="center"/>
    </xf>
    <xf numFmtId="0" fontId="1" fillId="0" borderId="0" xfId="1" applyFont="1" applyAlignment="1" applyProtection="1">
      <alignment vertical="center"/>
      <protection hidden="1"/>
    </xf>
    <xf numFmtId="0" fontId="2" fillId="0" borderId="0" xfId="1" applyAlignment="1" applyProtection="1">
      <alignment horizontal="center" vertical="center"/>
      <protection hidden="1"/>
    </xf>
    <xf numFmtId="166" fontId="15" fillId="2" borderId="0" xfId="1" applyNumberFormat="1" applyFont="1" applyFill="1" applyAlignment="1">
      <alignment horizontal="center" vertical="center"/>
    </xf>
    <xf numFmtId="166" fontId="2" fillId="0" borderId="0" xfId="1" applyNumberFormat="1" applyAlignment="1">
      <alignment horizontal="center" vertical="center"/>
    </xf>
    <xf numFmtId="171" fontId="11" fillId="0" borderId="0" xfId="1" applyNumberFormat="1" applyFont="1" applyAlignment="1">
      <alignment horizontal="center" vertical="center"/>
    </xf>
    <xf numFmtId="0" fontId="1" fillId="2" borderId="0" xfId="1" applyFont="1" applyFill="1" applyAlignment="1">
      <alignment horizontal="center" vertical="center"/>
    </xf>
    <xf numFmtId="0" fontId="2" fillId="2" borderId="0" xfId="1" applyFill="1" applyAlignment="1">
      <alignment horizontal="center" vertical="center"/>
    </xf>
    <xf numFmtId="0" fontId="2" fillId="0" borderId="0" xfId="1" applyAlignment="1" applyProtection="1">
      <alignment horizontal="center" vertical="center" wrapText="1"/>
      <protection hidden="1"/>
    </xf>
    <xf numFmtId="0" fontId="2" fillId="0" borderId="0" xfId="1" applyAlignment="1">
      <alignment vertical="center"/>
    </xf>
    <xf numFmtId="0" fontId="2" fillId="0" borderId="1" xfId="1" applyBorder="1" applyAlignment="1" applyProtection="1">
      <alignment horizontal="center" vertical="center"/>
      <protection hidden="1"/>
    </xf>
    <xf numFmtId="0" fontId="2" fillId="0" borderId="1" xfId="1" applyBorder="1" applyAlignment="1" applyProtection="1">
      <alignment horizontal="center" vertical="center"/>
      <protection hidden="1"/>
    </xf>
    <xf numFmtId="0" fontId="2" fillId="0" borderId="0" xfId="1" applyAlignment="1">
      <alignment vertical="top" wrapText="1"/>
    </xf>
  </cellXfs>
  <cellStyles count="2">
    <cellStyle name="Normal" xfId="0" builtinId="0"/>
    <cellStyle name="Normal 2" xfId="1" xr:uid="{6BAC81C7-872C-4D87-A5F7-8FAB348A35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Biểu đồ tương thích ứng biến M-P</a:t>
            </a:r>
            <a:endParaRPr lang="vi-VN"/>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vi-VN"/>
        </a:p>
      </c:txPr>
    </c:title>
    <c:autoTitleDeleted val="0"/>
    <c:plotArea>
      <c:layout/>
      <c:scatterChart>
        <c:scatterStyle val="smoothMarker"/>
        <c:varyColors val="0"/>
        <c:ser>
          <c:idx val="0"/>
          <c:order val="0"/>
          <c:tx>
            <c:strRef>
              <c:f>'Kiểm toán tường thân'!$H$102:$K$102</c:f>
              <c:strCache>
                <c:ptCount val="1"/>
                <c:pt idx="0">
                  <c:v>Tổ hợp sức kháng theo biểu đồ tương tác M-P</c:v>
                </c:pt>
              </c:strCache>
            </c:strRef>
          </c:tx>
          <c:spPr>
            <a:ln w="19050" cap="rnd">
              <a:solidFill>
                <a:schemeClr val="tx1"/>
              </a:solidFill>
              <a:round/>
            </a:ln>
            <a:effectLst/>
          </c:spPr>
          <c:marker>
            <c:symbol val="circle"/>
            <c:size val="5"/>
            <c:spPr>
              <a:solidFill>
                <a:schemeClr val="tx1">
                  <a:lumMod val="95000"/>
                  <a:lumOff val="5000"/>
                </a:schemeClr>
              </a:solidFill>
              <a:ln w="9525">
                <a:noFill/>
              </a:ln>
              <a:effectLst/>
            </c:spPr>
          </c:marker>
          <c:xVal>
            <c:numRef>
              <c:f>'Kiểm toán tường thân'!$K$104:$K$126</c:f>
              <c:numCache>
                <c:formatCode>0.00_#;\-0.00_#;"-  "</c:formatCode>
                <c:ptCount val="23"/>
                <c:pt idx="0">
                  <c:v>0</c:v>
                </c:pt>
                <c:pt idx="1">
                  <c:v>10980.420580097596</c:v>
                </c:pt>
                <c:pt idx="2">
                  <c:v>23049.247824287108</c:v>
                </c:pt>
                <c:pt idx="3">
                  <c:v>27922.05834348419</c:v>
                </c:pt>
                <c:pt idx="4">
                  <c:v>32036.824551347141</c:v>
                </c:pt>
                <c:pt idx="5">
                  <c:v>35650.485129327295</c:v>
                </c:pt>
                <c:pt idx="6">
                  <c:v>38763.040077424623</c:v>
                </c:pt>
                <c:pt idx="7">
                  <c:v>40247.650849478057</c:v>
                </c:pt>
                <c:pt idx="8">
                  <c:v>41374.489395639146</c:v>
                </c:pt>
                <c:pt idx="9">
                  <c:v>43484.833083970865</c:v>
                </c:pt>
                <c:pt idx="10">
                  <c:v>45094.071142419751</c:v>
                </c:pt>
                <c:pt idx="11">
                  <c:v>46202.203570985846</c:v>
                </c:pt>
                <c:pt idx="12">
                  <c:v>46800.029433498341</c:v>
                </c:pt>
                <c:pt idx="13">
                  <c:v>46809.230369669109</c:v>
                </c:pt>
                <c:pt idx="14">
                  <c:v>46082.880208528128</c:v>
                </c:pt>
                <c:pt idx="15">
                  <c:v>44974.320321781692</c:v>
                </c:pt>
                <c:pt idx="16">
                  <c:v>43459.771528574311</c:v>
                </c:pt>
                <c:pt idx="17">
                  <c:v>41521.399443264389</c:v>
                </c:pt>
                <c:pt idx="18">
                  <c:v>39145.566006243651</c:v>
                </c:pt>
                <c:pt idx="19">
                  <c:v>36321.663837816763</c:v>
                </c:pt>
                <c:pt idx="20">
                  <c:v>33288.169493187568</c:v>
                </c:pt>
                <c:pt idx="21">
                  <c:v>33041.318690855827</c:v>
                </c:pt>
                <c:pt idx="22">
                  <c:v>0</c:v>
                </c:pt>
              </c:numCache>
            </c:numRef>
          </c:xVal>
          <c:yVal>
            <c:numRef>
              <c:f>'Kiểm toán tường thân'!$J$104:$J$126</c:f>
              <c:numCache>
                <c:formatCode>0.00_#;\-0.00_#;"-  "</c:formatCode>
                <c:ptCount val="23"/>
                <c:pt idx="0">
                  <c:v>-11047.347734495437</c:v>
                </c:pt>
                <c:pt idx="1">
                  <c:v>0</c:v>
                </c:pt>
                <c:pt idx="2">
                  <c:v>20098.069083556864</c:v>
                </c:pt>
                <c:pt idx="3">
                  <c:v>28287.236488184775</c:v>
                </c:pt>
                <c:pt idx="4">
                  <c:v>36118.923988184768</c:v>
                </c:pt>
                <c:pt idx="5">
                  <c:v>43950.611488184775</c:v>
                </c:pt>
                <c:pt idx="6">
                  <c:v>51782.298988184768</c:v>
                </c:pt>
                <c:pt idx="7">
                  <c:v>55698.142738184768</c:v>
                </c:pt>
                <c:pt idx="8">
                  <c:v>59613.986488184768</c:v>
                </c:pt>
                <c:pt idx="9">
                  <c:v>67445.67398818479</c:v>
                </c:pt>
                <c:pt idx="10">
                  <c:v>75277.36148818479</c:v>
                </c:pt>
                <c:pt idx="11">
                  <c:v>83109.048988184775</c:v>
                </c:pt>
                <c:pt idx="12">
                  <c:v>89097.986488184775</c:v>
                </c:pt>
                <c:pt idx="13">
                  <c:v>90940.736488184775</c:v>
                </c:pt>
                <c:pt idx="14">
                  <c:v>99930.366708103305</c:v>
                </c:pt>
                <c:pt idx="15">
                  <c:v>108754.57653946208</c:v>
                </c:pt>
                <c:pt idx="16">
                  <c:v>117446.45005997297</c:v>
                </c:pt>
                <c:pt idx="17">
                  <c:v>126030.80032791999</c:v>
                </c:pt>
                <c:pt idx="18">
                  <c:v>134526.60203493206</c:v>
                </c:pt>
                <c:pt idx="19">
                  <c:v>142948.61327449838</c:v>
                </c:pt>
                <c:pt idx="20">
                  <c:v>150025.71720318968</c:v>
                </c:pt>
                <c:pt idx="21">
                  <c:v>151308.48517305771</c:v>
                </c:pt>
                <c:pt idx="22">
                  <c:v>207519.2327636845</c:v>
                </c:pt>
              </c:numCache>
            </c:numRef>
          </c:yVal>
          <c:smooth val="1"/>
          <c:extLst>
            <c:ext xmlns:c16="http://schemas.microsoft.com/office/drawing/2014/chart" uri="{C3380CC4-5D6E-409C-BE32-E72D297353CC}">
              <c16:uniqueId val="{00000000-5066-4239-A50D-FDEEE80BECDE}"/>
            </c:ext>
          </c:extLst>
        </c:ser>
        <c:ser>
          <c:idx val="1"/>
          <c:order val="1"/>
          <c:tx>
            <c:v>CĐ1</c:v>
          </c:tx>
          <c:spPr>
            <a:ln w="19050" cap="rnd">
              <a:solidFill>
                <a:schemeClr val="accent1"/>
              </a:solidFill>
              <a:round/>
            </a:ln>
            <a:effectLst/>
          </c:spPr>
          <c:marker>
            <c:symbol val="circle"/>
            <c:size val="5"/>
            <c:spPr>
              <a:solidFill>
                <a:schemeClr val="accent2"/>
              </a:solidFill>
              <a:ln w="9525">
                <a:noFill/>
              </a:ln>
              <a:effectLst/>
            </c:spPr>
          </c:marker>
          <c:dPt>
            <c:idx val="0"/>
            <c:marker>
              <c:symbol val="circle"/>
              <c:size val="5"/>
              <c:spPr>
                <a:solidFill>
                  <a:schemeClr val="accent1"/>
                </a:solidFill>
                <a:ln w="9525">
                  <a:noFill/>
                </a:ln>
                <a:effectLst/>
              </c:spPr>
            </c:marker>
            <c:bubble3D val="0"/>
            <c:extLst>
              <c:ext xmlns:c16="http://schemas.microsoft.com/office/drawing/2014/chart" uri="{C3380CC4-5D6E-409C-BE32-E72D297353CC}">
                <c16:uniqueId val="{00000001-5066-4239-A50D-FDEEE80BECDE}"/>
              </c:ext>
            </c:extLst>
          </c:dPt>
          <c:xVal>
            <c:numRef>
              <c:f>'Kiểm toán tường thân'!$I$129</c:f>
              <c:numCache>
                <c:formatCode>0.00</c:formatCode>
                <c:ptCount val="1"/>
                <c:pt idx="0">
                  <c:v>11576.54250944894</c:v>
                </c:pt>
              </c:numCache>
            </c:numRef>
          </c:xVal>
          <c:yVal>
            <c:numRef>
              <c:f>'Kiểm toán tường thân'!$H$129</c:f>
              <c:numCache>
                <c:formatCode>0.00</c:formatCode>
                <c:ptCount val="1"/>
                <c:pt idx="0">
                  <c:v>5499.610427792315</c:v>
                </c:pt>
              </c:numCache>
            </c:numRef>
          </c:yVal>
          <c:smooth val="1"/>
          <c:extLst>
            <c:ext xmlns:c16="http://schemas.microsoft.com/office/drawing/2014/chart" uri="{C3380CC4-5D6E-409C-BE32-E72D297353CC}">
              <c16:uniqueId val="{00000002-5066-4239-A50D-FDEEE80BECDE}"/>
            </c:ext>
          </c:extLst>
        </c:ser>
        <c:ser>
          <c:idx val="2"/>
          <c:order val="2"/>
          <c:tx>
            <c:strRef>
              <c:f>'Kiểm toán tường thân'!$B$15:$E$15</c:f>
              <c:strCache>
                <c:ptCount val="1"/>
                <c:pt idx="0">
                  <c:v>CĐ2</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'Kiểm toán tường thân'!$I$130</c:f>
              <c:numCache>
                <c:formatCode>0.00</c:formatCode>
                <c:ptCount val="1"/>
                <c:pt idx="0">
                  <c:v>10658.435421851344</c:v>
                </c:pt>
              </c:numCache>
            </c:numRef>
          </c:xVal>
          <c:yVal>
            <c:numRef>
              <c:f>'Kiểm toán tường thân'!$H$130</c:f>
              <c:numCache>
                <c:formatCode>0.00</c:formatCode>
                <c:ptCount val="1"/>
                <c:pt idx="0">
                  <c:v>5106.7479385219285</c:v>
                </c:pt>
              </c:numCache>
            </c:numRef>
          </c:yVal>
          <c:smooth val="1"/>
          <c:extLst>
            <c:ext xmlns:c16="http://schemas.microsoft.com/office/drawing/2014/chart" uri="{C3380CC4-5D6E-409C-BE32-E72D297353CC}">
              <c16:uniqueId val="{00000003-5066-4239-A50D-FDEEE80BECDE}"/>
            </c:ext>
          </c:extLst>
        </c:ser>
        <c:ser>
          <c:idx val="3"/>
          <c:order val="3"/>
          <c:tx>
            <c:strRef>
              <c:f>'Kiểm toán tường thân'!$B$16:$E$16</c:f>
              <c:strCache>
                <c:ptCount val="1"/>
                <c:pt idx="0">
                  <c:v>CĐ3</c:v>
                </c:pt>
              </c:strCache>
            </c:strRef>
          </c:tx>
          <c:spPr>
            <a:ln w="19050" cap="rnd">
              <a:solidFill>
                <a:schemeClr val="accent4"/>
              </a:solidFill>
              <a:round/>
            </a:ln>
            <a:effectLst/>
          </c:spPr>
          <c:marker>
            <c:symbol val="circle"/>
            <c:size val="5"/>
            <c:spPr>
              <a:solidFill>
                <a:schemeClr val="accent4"/>
              </a:solidFill>
              <a:ln w="9525">
                <a:solidFill>
                  <a:schemeClr val="accent4"/>
                </a:solidFill>
              </a:ln>
              <a:effectLst/>
            </c:spPr>
          </c:marker>
          <c:xVal>
            <c:numRef>
              <c:f>'Kiểm toán tường thân'!$I$131</c:f>
              <c:numCache>
                <c:formatCode>0.00</c:formatCode>
                <c:ptCount val="1"/>
                <c:pt idx="0">
                  <c:v>7559.8240012094548</c:v>
                </c:pt>
              </c:numCache>
            </c:numRef>
          </c:xVal>
          <c:yVal>
            <c:numRef>
              <c:f>'Kiểm toán tường thân'!$H$131</c:f>
              <c:numCache>
                <c:formatCode>0.00</c:formatCode>
                <c:ptCount val="1"/>
                <c:pt idx="0">
                  <c:v>3780.8370372343747</c:v>
                </c:pt>
              </c:numCache>
            </c:numRef>
          </c:yVal>
          <c:smooth val="1"/>
          <c:extLst>
            <c:ext xmlns:c16="http://schemas.microsoft.com/office/drawing/2014/chart" uri="{C3380CC4-5D6E-409C-BE32-E72D297353CC}">
              <c16:uniqueId val="{00000004-5066-4239-A50D-FDEEE80BECDE}"/>
            </c:ext>
          </c:extLst>
        </c:ser>
        <c:ser>
          <c:idx val="4"/>
          <c:order val="4"/>
          <c:tx>
            <c:strRef>
              <c:f>'Kiểm toán tường thân'!$B$17:$E$17</c:f>
              <c:strCache>
                <c:ptCount val="1"/>
                <c:pt idx="0">
                  <c:v>CĐ4</c:v>
                </c:pt>
              </c:strCache>
            </c:strRef>
          </c:tx>
          <c:spPr>
            <a:ln w="19050" cap="rnd">
              <a:solidFill>
                <a:schemeClr val="accent5"/>
              </a:solidFill>
              <a:round/>
            </a:ln>
            <a:effectLst/>
          </c:spPr>
          <c:marker>
            <c:symbol val="circle"/>
            <c:size val="5"/>
            <c:spPr>
              <a:solidFill>
                <a:schemeClr val="accent5"/>
              </a:solidFill>
              <a:ln w="9525">
                <a:solidFill>
                  <a:schemeClr val="accent5"/>
                </a:solidFill>
              </a:ln>
              <a:effectLst/>
            </c:spPr>
          </c:marker>
          <c:xVal>
            <c:numRef>
              <c:f>'Kiểm toán tường thân'!$I$132</c:f>
              <c:numCache>
                <c:formatCode>0.00</c:formatCode>
                <c:ptCount val="1"/>
                <c:pt idx="0">
                  <c:v>7615.8447824594541</c:v>
                </c:pt>
              </c:numCache>
            </c:numRef>
          </c:xVal>
          <c:yVal>
            <c:numRef>
              <c:f>'Kiểm toán tường thân'!$H$132</c:f>
              <c:numCache>
                <c:formatCode>0.00</c:formatCode>
                <c:ptCount val="1"/>
                <c:pt idx="0">
                  <c:v>4540.8882872343747</c:v>
                </c:pt>
              </c:numCache>
            </c:numRef>
          </c:yVal>
          <c:smooth val="1"/>
          <c:extLst>
            <c:ext xmlns:c16="http://schemas.microsoft.com/office/drawing/2014/chart" uri="{C3380CC4-5D6E-409C-BE32-E72D297353CC}">
              <c16:uniqueId val="{00000005-5066-4239-A50D-FDEEE80BECDE}"/>
            </c:ext>
          </c:extLst>
        </c:ser>
        <c:ser>
          <c:idx val="5"/>
          <c:order val="5"/>
          <c:tx>
            <c:strRef>
              <c:f>'Kiểm toán tường thân'!$B$18:$E$18</c:f>
              <c:strCache>
                <c:ptCount val="1"/>
                <c:pt idx="0">
                  <c:v>CĐ5</c:v>
                </c:pt>
              </c:strCache>
            </c:strRef>
          </c:tx>
          <c:spPr>
            <a:ln w="19050" cap="rnd">
              <a:noFill/>
              <a:round/>
            </a:ln>
            <a:effectLst/>
          </c:spPr>
          <c:marker>
            <c:symbol val="circle"/>
            <c:size val="5"/>
            <c:spPr>
              <a:solidFill>
                <a:schemeClr val="accent1"/>
              </a:solidFill>
              <a:ln w="9525">
                <a:noFill/>
              </a:ln>
              <a:effectLst/>
            </c:spPr>
          </c:marker>
          <c:dPt>
            <c:idx val="0"/>
            <c:marker>
              <c:symbol val="circle"/>
              <c:size val="5"/>
              <c:spPr>
                <a:solidFill>
                  <a:schemeClr val="accent1"/>
                </a:solidFill>
                <a:ln w="9525">
                  <a:noFill/>
                </a:ln>
                <a:effectLst/>
              </c:spPr>
            </c:marker>
            <c:bubble3D val="0"/>
            <c:spPr>
              <a:ln w="19050" cap="rnd">
                <a:noFill/>
                <a:round/>
              </a:ln>
              <a:effectLst/>
            </c:spPr>
            <c:extLst>
              <c:ext xmlns:c16="http://schemas.microsoft.com/office/drawing/2014/chart" uri="{C3380CC4-5D6E-409C-BE32-E72D297353CC}">
                <c16:uniqueId val="{00000007-5066-4239-A50D-FDEEE80BECDE}"/>
              </c:ext>
            </c:extLst>
          </c:dPt>
          <c:xVal>
            <c:numRef>
              <c:f>'Kiểm toán tường thân'!$I$133</c:f>
              <c:numCache>
                <c:formatCode>0.00</c:formatCode>
                <c:ptCount val="1"/>
                <c:pt idx="0">
                  <c:v>10658.435421851344</c:v>
                </c:pt>
              </c:numCache>
            </c:numRef>
          </c:xVal>
          <c:yVal>
            <c:numRef>
              <c:f>'Kiểm toán tường thân'!$H$133</c:f>
              <c:numCache>
                <c:formatCode>0.00</c:formatCode>
                <c:ptCount val="1"/>
                <c:pt idx="0">
                  <c:v>5106.7479385219285</c:v>
                </c:pt>
              </c:numCache>
            </c:numRef>
          </c:yVal>
          <c:smooth val="1"/>
          <c:extLst>
            <c:ext xmlns:c16="http://schemas.microsoft.com/office/drawing/2014/chart" uri="{C3380CC4-5D6E-409C-BE32-E72D297353CC}">
              <c16:uniqueId val="{00000008-5066-4239-A50D-FDEEE80BECDE}"/>
            </c:ext>
          </c:extLst>
        </c:ser>
        <c:ser>
          <c:idx val="6"/>
          <c:order val="6"/>
          <c:tx>
            <c:strRef>
              <c:f>'Kiểm toán tường thân'!$B$19:$E$19</c:f>
              <c:strCache>
                <c:ptCount val="1"/>
                <c:pt idx="0">
                  <c:v>ĐB 1</c:v>
                </c:pt>
              </c:strCache>
            </c:strRef>
          </c:tx>
          <c:spPr>
            <a:ln w="19050" cap="rnd">
              <a:solidFill>
                <a:schemeClr val="accent1"/>
              </a:solidFill>
              <a:round/>
            </a:ln>
            <a:effectLst/>
          </c:spPr>
          <c:marker>
            <c:symbol val="circle"/>
            <c:size val="5"/>
            <c:spPr>
              <a:solidFill>
                <a:schemeClr val="accent1">
                  <a:lumMod val="60000"/>
                </a:schemeClr>
              </a:solidFill>
              <a:ln w="9525">
                <a:noFill/>
              </a:ln>
              <a:effectLst/>
            </c:spPr>
          </c:marker>
          <c:xVal>
            <c:numRef>
              <c:f>'Kiểm toán tường thân'!$I$134</c:f>
              <c:numCache>
                <c:formatCode>0.00</c:formatCode>
                <c:ptCount val="1"/>
                <c:pt idx="0">
                  <c:v>12577.524190797396</c:v>
                </c:pt>
              </c:numCache>
            </c:numRef>
          </c:xVal>
          <c:yVal>
            <c:numRef>
              <c:f>'Kiểm toán tường thân'!$H$134</c:f>
              <c:numCache>
                <c:formatCode>0.00</c:formatCode>
                <c:ptCount val="1"/>
                <c:pt idx="0">
                  <c:v>3440.301689744233</c:v>
                </c:pt>
              </c:numCache>
            </c:numRef>
          </c:yVal>
          <c:smooth val="0"/>
          <c:extLst>
            <c:ext xmlns:c16="http://schemas.microsoft.com/office/drawing/2014/chart" uri="{C3380CC4-5D6E-409C-BE32-E72D297353CC}">
              <c16:uniqueId val="{00000009-5066-4239-A50D-FDEEE80BECDE}"/>
            </c:ext>
          </c:extLst>
        </c:ser>
        <c:ser>
          <c:idx val="7"/>
          <c:order val="7"/>
          <c:tx>
            <c:strRef>
              <c:f>'Kiểm toán tường thân'!$B$20:$E$20</c:f>
              <c:strCache>
                <c:ptCount val="1"/>
                <c:pt idx="0">
                  <c:v>ĐB 2</c:v>
                </c:pt>
              </c:strCache>
            </c:strRef>
          </c:tx>
          <c:spPr>
            <a:ln w="19050" cap="rnd">
              <a:solidFill>
                <a:schemeClr val="accent2">
                  <a:lumMod val="60000"/>
                </a:schemeClr>
              </a:solidFill>
              <a:round/>
            </a:ln>
            <a:effectLst/>
          </c:spPr>
          <c:marker>
            <c:symbol val="circle"/>
            <c:size val="5"/>
            <c:spPr>
              <a:solidFill>
                <a:schemeClr val="accent2">
                  <a:lumMod val="60000"/>
                </a:schemeClr>
              </a:solidFill>
              <a:ln w="9525">
                <a:solidFill>
                  <a:schemeClr val="accent2">
                    <a:lumMod val="60000"/>
                  </a:schemeClr>
                </a:solidFill>
              </a:ln>
              <a:effectLst/>
            </c:spPr>
          </c:marker>
          <c:xVal>
            <c:numRef>
              <c:f>'Kiểm toán tường thân'!$I$135</c:f>
              <c:numCache>
                <c:formatCode>0.00</c:formatCode>
                <c:ptCount val="1"/>
                <c:pt idx="0">
                  <c:v>8112.5760159299807</c:v>
                </c:pt>
              </c:numCache>
            </c:numRef>
          </c:xVal>
          <c:yVal>
            <c:numRef>
              <c:f>'Kiểm toán tường thân'!$H$135</c:f>
              <c:numCache>
                <c:formatCode>0.00</c:formatCode>
                <c:ptCount val="1"/>
                <c:pt idx="0">
                  <c:v>4271.9151488223579</c:v>
                </c:pt>
              </c:numCache>
            </c:numRef>
          </c:yVal>
          <c:smooth val="1"/>
          <c:extLst>
            <c:ext xmlns:c16="http://schemas.microsoft.com/office/drawing/2014/chart" uri="{C3380CC4-5D6E-409C-BE32-E72D297353CC}">
              <c16:uniqueId val="{0000000A-5066-4239-A50D-FDEEE80BECDE}"/>
            </c:ext>
          </c:extLst>
        </c:ser>
        <c:ser>
          <c:idx val="8"/>
          <c:order val="8"/>
          <c:tx>
            <c:strRef>
              <c:f>'Kiểm toán tường thân'!$B$21:$E$21</c:f>
              <c:strCache>
                <c:ptCount val="1"/>
                <c:pt idx="0">
                  <c:v>SD 1</c:v>
                </c:pt>
              </c:strCache>
            </c:strRef>
          </c:tx>
          <c:spPr>
            <a:ln w="19050" cap="rnd">
              <a:solidFill>
                <a:schemeClr val="accent3">
                  <a:lumMod val="60000"/>
                </a:schemeClr>
              </a:solidFill>
              <a:round/>
            </a:ln>
            <a:effectLst/>
          </c:spPr>
          <c:marker>
            <c:symbol val="circle"/>
            <c:size val="5"/>
            <c:spPr>
              <a:solidFill>
                <a:schemeClr val="accent3">
                  <a:lumMod val="60000"/>
                </a:schemeClr>
              </a:solidFill>
              <a:ln w="9525">
                <a:solidFill>
                  <a:schemeClr val="accent3">
                    <a:lumMod val="60000"/>
                  </a:schemeClr>
                </a:solidFill>
              </a:ln>
              <a:effectLst/>
            </c:spPr>
          </c:marker>
          <c:xVal>
            <c:numRef>
              <c:f>'Kiểm toán tường thân'!$I$136</c:f>
              <c:numCache>
                <c:formatCode>0.00</c:formatCode>
                <c:ptCount val="1"/>
                <c:pt idx="0">
                  <c:v>8052.4726157407176</c:v>
                </c:pt>
              </c:numCache>
            </c:numRef>
          </c:xVal>
          <c:yVal>
            <c:numRef>
              <c:f>'Kiểm toán tường thân'!$H$136</c:f>
              <c:numCache>
                <c:formatCode>0.00</c:formatCode>
                <c:ptCount val="1"/>
                <c:pt idx="0">
                  <c:v>3931.3798013322157</c:v>
                </c:pt>
              </c:numCache>
            </c:numRef>
          </c:yVal>
          <c:smooth val="1"/>
          <c:extLst>
            <c:ext xmlns:c16="http://schemas.microsoft.com/office/drawing/2014/chart" uri="{C3380CC4-5D6E-409C-BE32-E72D297353CC}">
              <c16:uniqueId val="{0000000B-5066-4239-A50D-FDEEE80BECDE}"/>
            </c:ext>
          </c:extLst>
        </c:ser>
        <c:ser>
          <c:idx val="9"/>
          <c:order val="9"/>
          <c:tx>
            <c:strRef>
              <c:f>'Kiểm toán tường thân'!$B$22:$E$22</c:f>
              <c:strCache>
                <c:ptCount val="1"/>
                <c:pt idx="0">
                  <c:v>SD 2</c:v>
                </c:pt>
              </c:strCache>
            </c:strRef>
          </c:tx>
          <c:spPr>
            <a:ln w="19050" cap="rnd">
              <a:noFill/>
              <a:round/>
            </a:ln>
            <a:effectLst/>
          </c:spPr>
          <c:marker>
            <c:symbol val="circle"/>
            <c:size val="5"/>
            <c:spPr>
              <a:solidFill>
                <a:schemeClr val="accent1"/>
              </a:solidFill>
              <a:ln w="9525">
                <a:noFill/>
              </a:ln>
              <a:effectLst/>
            </c:spPr>
          </c:marker>
          <c:xVal>
            <c:numRef>
              <c:f>'Kiểm toán tường thân'!$I$137</c:f>
              <c:numCache>
                <c:formatCode>0.00</c:formatCode>
                <c:ptCount val="1"/>
                <c:pt idx="0">
                  <c:v>8741.0529314389169</c:v>
                </c:pt>
              </c:numCache>
            </c:numRef>
          </c:xVal>
          <c:yVal>
            <c:numRef>
              <c:f>'Kiểm toán tường thân'!$H$137</c:f>
              <c:numCache>
                <c:formatCode>0.00</c:formatCode>
                <c:ptCount val="1"/>
                <c:pt idx="0">
                  <c:v>4226.0266682850051</c:v>
                </c:pt>
              </c:numCache>
            </c:numRef>
          </c:yVal>
          <c:smooth val="1"/>
          <c:extLst>
            <c:ext xmlns:c16="http://schemas.microsoft.com/office/drawing/2014/chart" uri="{C3380CC4-5D6E-409C-BE32-E72D297353CC}">
              <c16:uniqueId val="{0000000C-5066-4239-A50D-FDEEE80BECDE}"/>
            </c:ext>
          </c:extLst>
        </c:ser>
        <c:ser>
          <c:idx val="10"/>
          <c:order val="10"/>
          <c:tx>
            <c:strRef>
              <c:f>'Kiểm toán tường thân'!$B$23:$E$23</c:f>
              <c:strCache>
                <c:ptCount val="1"/>
                <c:pt idx="0">
                  <c:v>SD 3</c:v>
                </c:pt>
              </c:strCache>
            </c:strRef>
          </c:tx>
          <c:spPr>
            <a:ln w="19050" cap="rnd">
              <a:noFill/>
              <a:round/>
            </a:ln>
            <a:effectLst/>
          </c:spPr>
          <c:marker>
            <c:symbol val="circle"/>
            <c:size val="5"/>
            <c:spPr>
              <a:solidFill>
                <a:schemeClr val="accent1"/>
              </a:solidFill>
              <a:ln w="9525">
                <a:noFill/>
              </a:ln>
              <a:effectLst/>
            </c:spPr>
          </c:marker>
          <c:xVal>
            <c:numRef>
              <c:f>'Kiểm toán tường thân'!$I$138</c:f>
              <c:numCache>
                <c:formatCode>0.00</c:formatCode>
                <c:ptCount val="1"/>
                <c:pt idx="0">
                  <c:v>7593.4190719419194</c:v>
                </c:pt>
              </c:numCache>
            </c:numRef>
          </c:xVal>
          <c:yVal>
            <c:numRef>
              <c:f>'Kiểm toán tường thân'!$H$138</c:f>
              <c:numCache>
                <c:formatCode>0.00</c:formatCode>
                <c:ptCount val="1"/>
                <c:pt idx="0">
                  <c:v>3734.9485566970225</c:v>
                </c:pt>
              </c:numCache>
            </c:numRef>
          </c:yVal>
          <c:smooth val="1"/>
          <c:extLst>
            <c:ext xmlns:c16="http://schemas.microsoft.com/office/drawing/2014/chart" uri="{C3380CC4-5D6E-409C-BE32-E72D297353CC}">
              <c16:uniqueId val="{0000000D-5066-4239-A50D-FDEEE80BECDE}"/>
            </c:ext>
          </c:extLst>
        </c:ser>
        <c:ser>
          <c:idx val="11"/>
          <c:order val="11"/>
          <c:tx>
            <c:strRef>
              <c:f>'Kiểm toán tường thân'!$B$24:$E$24</c:f>
              <c:strCache>
                <c:ptCount val="1"/>
                <c:pt idx="0">
                  <c:v>SD 4</c:v>
                </c:pt>
              </c:strCache>
            </c:strRef>
          </c:tx>
          <c:spPr>
            <a:ln w="19050" cap="rnd">
              <a:noFill/>
              <a:round/>
            </a:ln>
            <a:effectLst/>
          </c:spPr>
          <c:marker>
            <c:symbol val="circle"/>
            <c:size val="5"/>
            <c:spPr>
              <a:solidFill>
                <a:schemeClr val="accent1"/>
              </a:solidFill>
              <a:ln w="9525">
                <a:noFill/>
              </a:ln>
              <a:effectLst/>
            </c:spPr>
          </c:marker>
          <c:dPt>
            <c:idx val="0"/>
            <c:marker>
              <c:symbol val="circle"/>
              <c:size val="5"/>
              <c:spPr>
                <a:solidFill>
                  <a:schemeClr val="accent1"/>
                </a:solidFill>
                <a:ln w="9525">
                  <a:noFill/>
                </a:ln>
                <a:effectLst/>
              </c:spPr>
            </c:marker>
            <c:bubble3D val="0"/>
            <c:spPr>
              <a:ln w="19050" cap="rnd">
                <a:noFill/>
                <a:round/>
              </a:ln>
              <a:effectLst/>
            </c:spPr>
            <c:extLst>
              <c:ext xmlns:c16="http://schemas.microsoft.com/office/drawing/2014/chart" uri="{C3380CC4-5D6E-409C-BE32-E72D297353CC}">
                <c16:uniqueId val="{0000000F-5066-4239-A50D-FDEEE80BECDE}"/>
              </c:ext>
            </c:extLst>
          </c:dPt>
          <c:xVal>
            <c:numRef>
              <c:f>'Kiểm toán tường thân'!$I$139</c:f>
              <c:numCache>
                <c:formatCode>0.00</c:formatCode>
                <c:ptCount val="1"/>
                <c:pt idx="0">
                  <c:v>5757.2048967467263</c:v>
                </c:pt>
              </c:numCache>
            </c:numRef>
          </c:xVal>
          <c:yVal>
            <c:numRef>
              <c:f>'Kiểm toán tường thân'!$H$139</c:f>
              <c:numCache>
                <c:formatCode>0.00</c:formatCode>
                <c:ptCount val="1"/>
                <c:pt idx="0">
                  <c:v>2949.2235781562499</c:v>
                </c:pt>
              </c:numCache>
            </c:numRef>
          </c:yVal>
          <c:smooth val="1"/>
          <c:extLst>
            <c:ext xmlns:c16="http://schemas.microsoft.com/office/drawing/2014/chart" uri="{C3380CC4-5D6E-409C-BE32-E72D297353CC}">
              <c16:uniqueId val="{00000010-5066-4239-A50D-FDEEE80BECDE}"/>
            </c:ext>
          </c:extLst>
        </c:ser>
        <c:ser>
          <c:idx val="12"/>
          <c:order val="12"/>
          <c:tx>
            <c:strRef>
              <c:f>'Kiểm toán tường thân'!$B$25:$E$25</c:f>
              <c:strCache>
                <c:ptCount val="1"/>
                <c:pt idx="0">
                  <c:v>Mỏi I</c:v>
                </c:pt>
              </c:strCache>
            </c:strRef>
          </c:tx>
          <c:spPr>
            <a:ln w="19050" cap="rnd">
              <a:noFill/>
              <a:round/>
            </a:ln>
            <a:effectLst/>
          </c:spPr>
          <c:marker>
            <c:symbol val="circle"/>
            <c:size val="5"/>
            <c:spPr>
              <a:solidFill>
                <a:schemeClr val="accent1"/>
              </a:solidFill>
              <a:ln w="9525">
                <a:noFill/>
              </a:ln>
              <a:effectLst/>
            </c:spPr>
          </c:marker>
          <c:dPt>
            <c:idx val="0"/>
            <c:marker>
              <c:symbol val="circle"/>
              <c:size val="5"/>
              <c:spPr>
                <a:solidFill>
                  <a:schemeClr val="accent1"/>
                </a:solidFill>
                <a:ln w="9525">
                  <a:noFill/>
                </a:ln>
                <a:effectLst/>
              </c:spPr>
            </c:marker>
            <c:bubble3D val="0"/>
            <c:extLst>
              <c:ext xmlns:c16="http://schemas.microsoft.com/office/drawing/2014/chart" uri="{C3380CC4-5D6E-409C-BE32-E72D297353CC}">
                <c16:uniqueId val="{00000011-5066-4239-A50D-FDEEE80BECDE}"/>
              </c:ext>
            </c:extLst>
          </c:dPt>
          <c:xVal>
            <c:numRef>
              <c:f>'Kiểm toán tường thân'!$I$140</c:f>
              <c:numCache>
                <c:formatCode>0.00</c:formatCode>
                <c:ptCount val="1"/>
                <c:pt idx="0">
                  <c:v>3442.9015784909875</c:v>
                </c:pt>
              </c:numCache>
            </c:numRef>
          </c:xVal>
          <c:yVal>
            <c:numRef>
              <c:f>'Kiểm toán tường thân'!$H$140</c:f>
              <c:numCache>
                <c:formatCode>0.00</c:formatCode>
                <c:ptCount val="1"/>
                <c:pt idx="0">
                  <c:v>1473.2343347639487</c:v>
                </c:pt>
              </c:numCache>
            </c:numRef>
          </c:yVal>
          <c:smooth val="1"/>
          <c:extLst>
            <c:ext xmlns:c16="http://schemas.microsoft.com/office/drawing/2014/chart" uri="{C3380CC4-5D6E-409C-BE32-E72D297353CC}">
              <c16:uniqueId val="{00000012-5066-4239-A50D-FDEEE80BECDE}"/>
            </c:ext>
          </c:extLst>
        </c:ser>
        <c:ser>
          <c:idx val="13"/>
          <c:order val="13"/>
          <c:tx>
            <c:strRef>
              <c:f>'Kiểm toán tường thân'!$B$26:$E$26</c:f>
              <c:strCache>
                <c:ptCount val="1"/>
                <c:pt idx="0">
                  <c:v>Mỏi II</c:v>
                </c:pt>
              </c:strCache>
            </c:strRef>
          </c:tx>
          <c:spPr>
            <a:ln w="19050" cap="rnd">
              <a:solidFill>
                <a:schemeClr val="accent2">
                  <a:lumMod val="80000"/>
                  <a:lumOff val="20000"/>
                </a:schemeClr>
              </a:solidFill>
              <a:round/>
            </a:ln>
            <a:effectLst/>
          </c:spPr>
          <c:marker>
            <c:symbol val="circle"/>
            <c:size val="5"/>
            <c:spPr>
              <a:solidFill>
                <a:schemeClr val="accent1"/>
              </a:solidFill>
              <a:ln w="9525">
                <a:noFill/>
              </a:ln>
              <a:effectLst/>
            </c:spPr>
          </c:marker>
          <c:trendline>
            <c:spPr>
              <a:ln w="19050" cap="rnd">
                <a:solidFill>
                  <a:schemeClr val="accent2">
                    <a:lumMod val="80000"/>
                    <a:lumOff val="20000"/>
                  </a:schemeClr>
                </a:solidFill>
                <a:prstDash val="sysDot"/>
              </a:ln>
              <a:effectLst/>
            </c:spPr>
            <c:trendlineType val="linear"/>
            <c:dispRSqr val="0"/>
            <c:dispEq val="0"/>
          </c:trendline>
          <c:trendline>
            <c:spPr>
              <a:ln w="19050" cap="rnd">
                <a:solidFill>
                  <a:schemeClr val="accent2">
                    <a:lumMod val="80000"/>
                    <a:lumOff val="20000"/>
                  </a:schemeClr>
                </a:solidFill>
                <a:prstDash val="sysDot"/>
              </a:ln>
              <a:effectLst/>
            </c:spPr>
            <c:trendlineType val="linear"/>
            <c:dispRSqr val="0"/>
            <c:dispEq val="0"/>
          </c:trendline>
          <c:xVal>
            <c:numRef>
              <c:f>'Kiểm toán tường thân'!$I$141</c:f>
              <c:numCache>
                <c:formatCode>0.00</c:formatCode>
                <c:ptCount val="1"/>
                <c:pt idx="0">
                  <c:v>5000</c:v>
                </c:pt>
              </c:numCache>
            </c:numRef>
          </c:xVal>
          <c:yVal>
            <c:numRef>
              <c:f>'Kiểm toán tường thân'!$H$141</c:f>
              <c:numCache>
                <c:formatCode>0.00</c:formatCode>
                <c:ptCount val="1"/>
                <c:pt idx="0">
                  <c:v>20000</c:v>
                </c:pt>
              </c:numCache>
            </c:numRef>
          </c:yVal>
          <c:smooth val="1"/>
          <c:extLst>
            <c:ext xmlns:c16="http://schemas.microsoft.com/office/drawing/2014/chart" uri="{C3380CC4-5D6E-409C-BE32-E72D297353CC}">
              <c16:uniqueId val="{00000015-5066-4239-A50D-FDEEE80BECDE}"/>
            </c:ext>
          </c:extLst>
        </c:ser>
        <c:dLbls>
          <c:showLegendKey val="0"/>
          <c:showVal val="0"/>
          <c:showCatName val="0"/>
          <c:showSerName val="0"/>
          <c:showPercent val="0"/>
          <c:showBubbleSize val="0"/>
        </c:dLbls>
        <c:axId val="667425496"/>
        <c:axId val="667421176"/>
      </c:scatterChart>
      <c:valAx>
        <c:axId val="6674254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Mr</a:t>
                </a:r>
                <a:endParaRPr lang="vi-VN"/>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vi-VN"/>
            </a:p>
          </c:txPr>
        </c:title>
        <c:numFmt formatCode="0.00_#;\-0.00_#;&quot;-  &quot;"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vi-VN"/>
          </a:p>
        </c:txPr>
        <c:crossAx val="667421176"/>
        <c:crosses val="autoZero"/>
        <c:crossBetween val="midCat"/>
        <c:majorUnit val="10000"/>
      </c:valAx>
      <c:valAx>
        <c:axId val="667421176"/>
        <c:scaling>
          <c:orientation val="minMax"/>
          <c:min val="-20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Pr</a:t>
                </a:r>
                <a:endParaRPr lang="vi-VN"/>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vi-VN"/>
            </a:p>
          </c:txPr>
        </c:title>
        <c:numFmt formatCode="0.00_#;\-0.00_#;&quot;-  &quot;"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vi-VN"/>
          </a:p>
        </c:txPr>
        <c:crossAx val="667425496"/>
        <c:crosses val="autoZero"/>
        <c:crossBetween val="midCat"/>
        <c:majorUnit val="20000"/>
        <c:minorUnit val="1000"/>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vi-VN"/>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9</xdr:row>
      <xdr:rowOff>0</xdr:rowOff>
    </xdr:from>
    <xdr:to>
      <xdr:col>7</xdr:col>
      <xdr:colOff>104776</xdr:colOff>
      <xdr:row>10</xdr:row>
      <xdr:rowOff>38100</xdr:rowOff>
    </xdr:to>
    <xdr:sp macro="" textlink="">
      <xdr:nvSpPr>
        <xdr:cNvPr id="2" name="Text 3">
          <a:extLst>
            <a:ext uri="{FF2B5EF4-FFF2-40B4-BE49-F238E27FC236}">
              <a16:creationId xmlns:a16="http://schemas.microsoft.com/office/drawing/2014/main" id="{BAE3B9A6-6C62-47DA-B93D-AE2464CCD1A6}"/>
            </a:ext>
          </a:extLst>
        </xdr:cNvPr>
        <xdr:cNvSpPr txBox="1">
          <a:spLocks noChangeArrowheads="1"/>
        </xdr:cNvSpPr>
      </xdr:nvSpPr>
      <xdr:spPr bwMode="auto">
        <a:xfrm>
          <a:off x="4324350" y="1743075"/>
          <a:ext cx="714376"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9</xdr:row>
      <xdr:rowOff>0</xdr:rowOff>
    </xdr:from>
    <xdr:to>
      <xdr:col>7</xdr:col>
      <xdr:colOff>104776</xdr:colOff>
      <xdr:row>10</xdr:row>
      <xdr:rowOff>38100</xdr:rowOff>
    </xdr:to>
    <xdr:sp macro="" textlink="">
      <xdr:nvSpPr>
        <xdr:cNvPr id="3" name="Text 4">
          <a:extLst>
            <a:ext uri="{FF2B5EF4-FFF2-40B4-BE49-F238E27FC236}">
              <a16:creationId xmlns:a16="http://schemas.microsoft.com/office/drawing/2014/main" id="{94DF6D18-8039-4C07-B475-778C7584F3A2}"/>
            </a:ext>
          </a:extLst>
        </xdr:cNvPr>
        <xdr:cNvSpPr txBox="1">
          <a:spLocks noChangeArrowheads="1"/>
        </xdr:cNvSpPr>
      </xdr:nvSpPr>
      <xdr:spPr bwMode="auto">
        <a:xfrm>
          <a:off x="4324350" y="1743075"/>
          <a:ext cx="714376"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455543</xdr:colOff>
      <xdr:row>28</xdr:row>
      <xdr:rowOff>41414</xdr:rowOff>
    </xdr:from>
    <xdr:to>
      <xdr:col>9</xdr:col>
      <xdr:colOff>567278</xdr:colOff>
      <xdr:row>36</xdr:row>
      <xdr:rowOff>22203</xdr:rowOff>
    </xdr:to>
    <xdr:pic>
      <xdr:nvPicPr>
        <xdr:cNvPr id="4" name="Picture 3">
          <a:extLst>
            <a:ext uri="{FF2B5EF4-FFF2-40B4-BE49-F238E27FC236}">
              <a16:creationId xmlns:a16="http://schemas.microsoft.com/office/drawing/2014/main" id="{4365507E-2ACB-4DFC-8646-A0C5D9078563}"/>
            </a:ext>
          </a:extLst>
        </xdr:cNvPr>
        <xdr:cNvPicPr>
          <a:picLocks noChangeAspect="1"/>
        </xdr:cNvPicPr>
      </xdr:nvPicPr>
      <xdr:blipFill rotWithShape="1">
        <a:blip xmlns:r="http://schemas.openxmlformats.org/officeDocument/2006/relationships" r:embed="rId1"/>
        <a:srcRect l="3215" t="7739"/>
        <a:stretch/>
      </xdr:blipFill>
      <xdr:spPr>
        <a:xfrm>
          <a:off x="4779893" y="4975364"/>
          <a:ext cx="2331060" cy="1542889"/>
        </a:xfrm>
        <a:prstGeom prst="rect">
          <a:avLst/>
        </a:prstGeom>
      </xdr:spPr>
    </xdr:pic>
    <xdr:clientData/>
  </xdr:twoCellAnchor>
  <xdr:twoCellAnchor editAs="oneCell">
    <xdr:from>
      <xdr:col>0</xdr:col>
      <xdr:colOff>173932</xdr:colOff>
      <xdr:row>40</xdr:row>
      <xdr:rowOff>49698</xdr:rowOff>
    </xdr:from>
    <xdr:to>
      <xdr:col>1</xdr:col>
      <xdr:colOff>301239</xdr:colOff>
      <xdr:row>41</xdr:row>
      <xdr:rowOff>74545</xdr:rowOff>
    </xdr:to>
    <xdr:pic>
      <xdr:nvPicPr>
        <xdr:cNvPr id="5" name="Picture 4">
          <a:extLst>
            <a:ext uri="{FF2B5EF4-FFF2-40B4-BE49-F238E27FC236}">
              <a16:creationId xmlns:a16="http://schemas.microsoft.com/office/drawing/2014/main" id="{D749C02F-49D8-4D4C-B51A-3187C36DAB74}"/>
            </a:ext>
          </a:extLst>
        </xdr:cNvPr>
        <xdr:cNvPicPr>
          <a:picLocks noChangeAspect="1"/>
        </xdr:cNvPicPr>
      </xdr:nvPicPr>
      <xdr:blipFill rotWithShape="1">
        <a:blip xmlns:r="http://schemas.openxmlformats.org/officeDocument/2006/relationships" r:embed="rId2"/>
        <a:srcRect t="31246" b="12687"/>
        <a:stretch/>
      </xdr:blipFill>
      <xdr:spPr>
        <a:xfrm>
          <a:off x="173932" y="7279173"/>
          <a:ext cx="736907" cy="186772"/>
        </a:xfrm>
        <a:prstGeom prst="rect">
          <a:avLst/>
        </a:prstGeom>
      </xdr:spPr>
    </xdr:pic>
    <xdr:clientData/>
  </xdr:twoCellAnchor>
  <xdr:twoCellAnchor editAs="oneCell">
    <xdr:from>
      <xdr:col>5</xdr:col>
      <xdr:colOff>24848</xdr:colOff>
      <xdr:row>41</xdr:row>
      <xdr:rowOff>8282</xdr:rowOff>
    </xdr:from>
    <xdr:to>
      <xdr:col>9</xdr:col>
      <xdr:colOff>370776</xdr:colOff>
      <xdr:row>42</xdr:row>
      <xdr:rowOff>8283</xdr:rowOff>
    </xdr:to>
    <xdr:pic>
      <xdr:nvPicPr>
        <xdr:cNvPr id="6" name="Picture 5">
          <a:extLst>
            <a:ext uri="{FF2B5EF4-FFF2-40B4-BE49-F238E27FC236}">
              <a16:creationId xmlns:a16="http://schemas.microsoft.com/office/drawing/2014/main" id="{2E1B6BE5-A186-4067-A50F-BFE7F9D43E67}"/>
            </a:ext>
          </a:extLst>
        </xdr:cNvPr>
        <xdr:cNvPicPr>
          <a:picLocks noChangeAspect="1"/>
        </xdr:cNvPicPr>
      </xdr:nvPicPr>
      <xdr:blipFill rotWithShape="1">
        <a:blip xmlns:r="http://schemas.openxmlformats.org/officeDocument/2006/relationships" r:embed="rId3"/>
        <a:srcRect l="3118" t="18659" b="21142"/>
        <a:stretch/>
      </xdr:blipFill>
      <xdr:spPr>
        <a:xfrm>
          <a:off x="3739598" y="7399682"/>
          <a:ext cx="3174853" cy="161926"/>
        </a:xfrm>
        <a:prstGeom prst="rect">
          <a:avLst/>
        </a:prstGeom>
      </xdr:spPr>
    </xdr:pic>
    <xdr:clientData/>
  </xdr:twoCellAnchor>
  <xdr:twoCellAnchor editAs="oneCell">
    <xdr:from>
      <xdr:col>4</xdr:col>
      <xdr:colOff>803412</xdr:colOff>
      <xdr:row>42</xdr:row>
      <xdr:rowOff>158717</xdr:rowOff>
    </xdr:from>
    <xdr:to>
      <xdr:col>8</xdr:col>
      <xdr:colOff>535798</xdr:colOff>
      <xdr:row>44</xdr:row>
      <xdr:rowOff>1698</xdr:rowOff>
    </xdr:to>
    <xdr:pic>
      <xdr:nvPicPr>
        <xdr:cNvPr id="7" name="Picture 6">
          <a:extLst>
            <a:ext uri="{FF2B5EF4-FFF2-40B4-BE49-F238E27FC236}">
              <a16:creationId xmlns:a16="http://schemas.microsoft.com/office/drawing/2014/main" id="{31132717-09F6-47CA-8942-635EAEA1041A}"/>
            </a:ext>
          </a:extLst>
        </xdr:cNvPr>
        <xdr:cNvPicPr>
          <a:picLocks noChangeAspect="1"/>
        </xdr:cNvPicPr>
      </xdr:nvPicPr>
      <xdr:blipFill>
        <a:blip xmlns:r="http://schemas.openxmlformats.org/officeDocument/2006/relationships" r:embed="rId4"/>
        <a:stretch>
          <a:fillRect/>
        </a:stretch>
      </xdr:blipFill>
      <xdr:spPr>
        <a:xfrm>
          <a:off x="3403737" y="7712042"/>
          <a:ext cx="3066136" cy="166831"/>
        </a:xfrm>
        <a:prstGeom prst="rect">
          <a:avLst/>
        </a:prstGeom>
      </xdr:spPr>
    </xdr:pic>
    <xdr:clientData/>
  </xdr:twoCellAnchor>
  <xdr:twoCellAnchor editAs="oneCell">
    <xdr:from>
      <xdr:col>3</xdr:col>
      <xdr:colOff>455544</xdr:colOff>
      <xdr:row>142</xdr:row>
      <xdr:rowOff>30578</xdr:rowOff>
    </xdr:from>
    <xdr:to>
      <xdr:col>4</xdr:col>
      <xdr:colOff>414131</xdr:colOff>
      <xdr:row>143</xdr:row>
      <xdr:rowOff>33128</xdr:rowOff>
    </xdr:to>
    <xdr:pic>
      <xdr:nvPicPr>
        <xdr:cNvPr id="8" name="Picture 7">
          <a:extLst>
            <a:ext uri="{FF2B5EF4-FFF2-40B4-BE49-F238E27FC236}">
              <a16:creationId xmlns:a16="http://schemas.microsoft.com/office/drawing/2014/main" id="{A589686D-D4E2-47CD-8130-4DAB11F156AB}"/>
            </a:ext>
          </a:extLst>
        </xdr:cNvPr>
        <xdr:cNvPicPr>
          <a:picLocks noChangeAspect="1"/>
        </xdr:cNvPicPr>
      </xdr:nvPicPr>
      <xdr:blipFill rotWithShape="1">
        <a:blip xmlns:r="http://schemas.openxmlformats.org/officeDocument/2006/relationships" r:embed="rId5"/>
        <a:srcRect t="23251" b="12644"/>
        <a:stretch/>
      </xdr:blipFill>
      <xdr:spPr>
        <a:xfrm>
          <a:off x="2284344" y="24100253"/>
          <a:ext cx="730112" cy="164475"/>
        </a:xfrm>
        <a:prstGeom prst="rect">
          <a:avLst/>
        </a:prstGeom>
      </xdr:spPr>
    </xdr:pic>
    <xdr:clientData/>
  </xdr:twoCellAnchor>
  <xdr:twoCellAnchor editAs="oneCell">
    <xdr:from>
      <xdr:col>7</xdr:col>
      <xdr:colOff>612915</xdr:colOff>
      <xdr:row>141</xdr:row>
      <xdr:rowOff>66260</xdr:rowOff>
    </xdr:from>
    <xdr:to>
      <xdr:col>9</xdr:col>
      <xdr:colOff>365664</xdr:colOff>
      <xdr:row>143</xdr:row>
      <xdr:rowOff>96160</xdr:rowOff>
    </xdr:to>
    <xdr:pic>
      <xdr:nvPicPr>
        <xdr:cNvPr id="9" name="Picture 8">
          <a:extLst>
            <a:ext uri="{FF2B5EF4-FFF2-40B4-BE49-F238E27FC236}">
              <a16:creationId xmlns:a16="http://schemas.microsoft.com/office/drawing/2014/main" id="{7B8AB466-66CB-478C-A693-6CABEE306A47}"/>
            </a:ext>
          </a:extLst>
        </xdr:cNvPr>
        <xdr:cNvPicPr>
          <a:picLocks noChangeAspect="1"/>
        </xdr:cNvPicPr>
      </xdr:nvPicPr>
      <xdr:blipFill rotWithShape="1">
        <a:blip xmlns:r="http://schemas.openxmlformats.org/officeDocument/2006/relationships" r:embed="rId6"/>
        <a:srcRect t="8401" b="-1"/>
        <a:stretch/>
      </xdr:blipFill>
      <xdr:spPr>
        <a:xfrm>
          <a:off x="5546865" y="23974010"/>
          <a:ext cx="1362474" cy="353750"/>
        </a:xfrm>
        <a:prstGeom prst="rect">
          <a:avLst/>
        </a:prstGeom>
      </xdr:spPr>
    </xdr:pic>
    <xdr:clientData/>
  </xdr:twoCellAnchor>
  <xdr:twoCellAnchor editAs="oneCell">
    <xdr:from>
      <xdr:col>1</xdr:col>
      <xdr:colOff>24849</xdr:colOff>
      <xdr:row>143</xdr:row>
      <xdr:rowOff>37716</xdr:rowOff>
    </xdr:from>
    <xdr:to>
      <xdr:col>4</xdr:col>
      <xdr:colOff>49696</xdr:colOff>
      <xdr:row>144</xdr:row>
      <xdr:rowOff>74545</xdr:rowOff>
    </xdr:to>
    <xdr:pic>
      <xdr:nvPicPr>
        <xdr:cNvPr id="10" name="Picture 9">
          <a:extLst>
            <a:ext uri="{FF2B5EF4-FFF2-40B4-BE49-F238E27FC236}">
              <a16:creationId xmlns:a16="http://schemas.microsoft.com/office/drawing/2014/main" id="{E91B8E52-B5C3-4174-884D-4C923C5F9D51}"/>
            </a:ext>
          </a:extLst>
        </xdr:cNvPr>
        <xdr:cNvPicPr>
          <a:picLocks noChangeAspect="1"/>
        </xdr:cNvPicPr>
      </xdr:nvPicPr>
      <xdr:blipFill rotWithShape="1">
        <a:blip xmlns:r="http://schemas.openxmlformats.org/officeDocument/2006/relationships" r:embed="rId7"/>
        <a:srcRect t="-1" r="32553" b="-12018"/>
        <a:stretch/>
      </xdr:blipFill>
      <xdr:spPr>
        <a:xfrm>
          <a:off x="634449" y="24269316"/>
          <a:ext cx="2015572" cy="198754"/>
        </a:xfrm>
        <a:prstGeom prst="rect">
          <a:avLst/>
        </a:prstGeom>
      </xdr:spPr>
    </xdr:pic>
    <xdr:clientData/>
  </xdr:twoCellAnchor>
  <xdr:twoCellAnchor editAs="oneCell">
    <xdr:from>
      <xdr:col>7</xdr:col>
      <xdr:colOff>861394</xdr:colOff>
      <xdr:row>143</xdr:row>
      <xdr:rowOff>163523</xdr:rowOff>
    </xdr:from>
    <xdr:to>
      <xdr:col>9</xdr:col>
      <xdr:colOff>339587</xdr:colOff>
      <xdr:row>146</xdr:row>
      <xdr:rowOff>98652</xdr:rowOff>
    </xdr:to>
    <xdr:pic>
      <xdr:nvPicPr>
        <xdr:cNvPr id="11" name="Picture 10">
          <a:extLst>
            <a:ext uri="{FF2B5EF4-FFF2-40B4-BE49-F238E27FC236}">
              <a16:creationId xmlns:a16="http://schemas.microsoft.com/office/drawing/2014/main" id="{035C2DCF-7D32-4D69-B9C9-5A1932C93324}"/>
            </a:ext>
          </a:extLst>
        </xdr:cNvPr>
        <xdr:cNvPicPr>
          <a:picLocks noChangeAspect="1"/>
        </xdr:cNvPicPr>
      </xdr:nvPicPr>
      <xdr:blipFill>
        <a:blip xmlns:r="http://schemas.openxmlformats.org/officeDocument/2006/relationships" r:embed="rId8"/>
        <a:stretch>
          <a:fillRect/>
        </a:stretch>
      </xdr:blipFill>
      <xdr:spPr>
        <a:xfrm>
          <a:off x="5795344" y="24395123"/>
          <a:ext cx="1087918" cy="420904"/>
        </a:xfrm>
        <a:prstGeom prst="rect">
          <a:avLst/>
        </a:prstGeom>
      </xdr:spPr>
    </xdr:pic>
    <xdr:clientData/>
  </xdr:twoCellAnchor>
  <xdr:twoCellAnchor editAs="oneCell">
    <xdr:from>
      <xdr:col>3</xdr:col>
      <xdr:colOff>422414</xdr:colOff>
      <xdr:row>145</xdr:row>
      <xdr:rowOff>7646</xdr:rowOff>
    </xdr:from>
    <xdr:to>
      <xdr:col>4</xdr:col>
      <xdr:colOff>389283</xdr:colOff>
      <xdr:row>146</xdr:row>
      <xdr:rowOff>12109</xdr:rowOff>
    </xdr:to>
    <xdr:pic>
      <xdr:nvPicPr>
        <xdr:cNvPr id="12" name="Picture 11">
          <a:extLst>
            <a:ext uri="{FF2B5EF4-FFF2-40B4-BE49-F238E27FC236}">
              <a16:creationId xmlns:a16="http://schemas.microsoft.com/office/drawing/2014/main" id="{1623E8E5-8D27-4853-BEB5-AF51D41BC00B}"/>
            </a:ext>
          </a:extLst>
        </xdr:cNvPr>
        <xdr:cNvPicPr>
          <a:picLocks noChangeAspect="1"/>
        </xdr:cNvPicPr>
      </xdr:nvPicPr>
      <xdr:blipFill rotWithShape="1">
        <a:blip xmlns:r="http://schemas.openxmlformats.org/officeDocument/2006/relationships" r:embed="rId5"/>
        <a:srcRect t="23251" b="12644"/>
        <a:stretch/>
      </xdr:blipFill>
      <xdr:spPr>
        <a:xfrm>
          <a:off x="2251214" y="24563096"/>
          <a:ext cx="738394" cy="166388"/>
        </a:xfrm>
        <a:prstGeom prst="rect">
          <a:avLst/>
        </a:prstGeom>
      </xdr:spPr>
    </xdr:pic>
    <xdr:clientData/>
  </xdr:twoCellAnchor>
  <xdr:twoCellAnchor editAs="oneCell">
    <xdr:from>
      <xdr:col>4</xdr:col>
      <xdr:colOff>588066</xdr:colOff>
      <xdr:row>178</xdr:row>
      <xdr:rowOff>33130</xdr:rowOff>
    </xdr:from>
    <xdr:to>
      <xdr:col>7</xdr:col>
      <xdr:colOff>895080</xdr:colOff>
      <xdr:row>180</xdr:row>
      <xdr:rowOff>82570</xdr:rowOff>
    </xdr:to>
    <xdr:pic>
      <xdr:nvPicPr>
        <xdr:cNvPr id="13" name="Picture 1">
          <a:extLst>
            <a:ext uri="{FF2B5EF4-FFF2-40B4-BE49-F238E27FC236}">
              <a16:creationId xmlns:a16="http://schemas.microsoft.com/office/drawing/2014/main" id="{C0CBB420-BC3F-43FF-947F-24660E83AE7B}"/>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l="4378"/>
        <a:stretch>
          <a:fillRect/>
        </a:stretch>
      </xdr:blipFill>
      <xdr:spPr bwMode="auto">
        <a:xfrm>
          <a:off x="3188391" y="30275005"/>
          <a:ext cx="2640639" cy="468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248478</xdr:colOff>
      <xdr:row>179</xdr:row>
      <xdr:rowOff>198782</xdr:rowOff>
    </xdr:from>
    <xdr:to>
      <xdr:col>23</xdr:col>
      <xdr:colOff>115956</xdr:colOff>
      <xdr:row>185</xdr:row>
      <xdr:rowOff>25830</xdr:rowOff>
    </xdr:to>
    <xdr:pic>
      <xdr:nvPicPr>
        <xdr:cNvPr id="14" name="Picture 13">
          <a:extLst>
            <a:ext uri="{FF2B5EF4-FFF2-40B4-BE49-F238E27FC236}">
              <a16:creationId xmlns:a16="http://schemas.microsoft.com/office/drawing/2014/main" id="{C5B21049-98BF-40AF-86B3-94E8A0DB4F06}"/>
            </a:ext>
          </a:extLst>
        </xdr:cNvPr>
        <xdr:cNvPicPr>
          <a:picLocks noChangeAspect="1"/>
        </xdr:cNvPicPr>
      </xdr:nvPicPr>
      <xdr:blipFill rotWithShape="1">
        <a:blip xmlns:r="http://schemas.openxmlformats.org/officeDocument/2006/relationships" r:embed="rId10"/>
        <a:srcRect l="6096" r="4073"/>
        <a:stretch/>
      </xdr:blipFill>
      <xdr:spPr>
        <a:xfrm>
          <a:off x="14355003" y="30602582"/>
          <a:ext cx="2305878" cy="1074823"/>
        </a:xfrm>
        <a:prstGeom prst="rect">
          <a:avLst/>
        </a:prstGeom>
      </xdr:spPr>
    </xdr:pic>
    <xdr:clientData/>
  </xdr:twoCellAnchor>
  <xdr:twoCellAnchor editAs="oneCell">
    <xdr:from>
      <xdr:col>0</xdr:col>
      <xdr:colOff>38101</xdr:colOff>
      <xdr:row>189</xdr:row>
      <xdr:rowOff>63452</xdr:rowOff>
    </xdr:from>
    <xdr:to>
      <xdr:col>2</xdr:col>
      <xdr:colOff>36635</xdr:colOff>
      <xdr:row>190</xdr:row>
      <xdr:rowOff>114299</xdr:rowOff>
    </xdr:to>
    <xdr:pic>
      <xdr:nvPicPr>
        <xdr:cNvPr id="15" name="Picture 1">
          <a:extLst>
            <a:ext uri="{FF2B5EF4-FFF2-40B4-BE49-F238E27FC236}">
              <a16:creationId xmlns:a16="http://schemas.microsoft.com/office/drawing/2014/main" id="{3A9CF634-14CF-49A7-B1D6-092DFD1D7F0B}"/>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38101" y="32362727"/>
          <a:ext cx="1217734" cy="2127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233156</xdr:colOff>
      <xdr:row>189</xdr:row>
      <xdr:rowOff>21979</xdr:rowOff>
    </xdr:from>
    <xdr:to>
      <xdr:col>4</xdr:col>
      <xdr:colOff>243379</xdr:colOff>
      <xdr:row>190</xdr:row>
      <xdr:rowOff>122166</xdr:rowOff>
    </xdr:to>
    <xdr:pic>
      <xdr:nvPicPr>
        <xdr:cNvPr id="16" name="Picture 2">
          <a:extLst>
            <a:ext uri="{FF2B5EF4-FFF2-40B4-BE49-F238E27FC236}">
              <a16:creationId xmlns:a16="http://schemas.microsoft.com/office/drawing/2014/main" id="{42BF0476-8E71-4D8B-A670-4DF98AB6BF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452356" y="32321254"/>
          <a:ext cx="1391348" cy="2621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251791</xdr:colOff>
      <xdr:row>189</xdr:row>
      <xdr:rowOff>16565</xdr:rowOff>
    </xdr:from>
    <xdr:to>
      <xdr:col>10</xdr:col>
      <xdr:colOff>454650</xdr:colOff>
      <xdr:row>191</xdr:row>
      <xdr:rowOff>66261</xdr:rowOff>
    </xdr:to>
    <xdr:pic>
      <xdr:nvPicPr>
        <xdr:cNvPr id="17" name="Picture 4">
          <a:extLst>
            <a:ext uri="{FF2B5EF4-FFF2-40B4-BE49-F238E27FC236}">
              <a16:creationId xmlns:a16="http://schemas.microsoft.com/office/drawing/2014/main" id="{CDA8CEA6-4848-479C-A04D-D37CC02B4EF5}"/>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l="4945" t="13283" r="3165" b="10641"/>
        <a:stretch>
          <a:fillRect/>
        </a:stretch>
      </xdr:blipFill>
      <xdr:spPr bwMode="auto">
        <a:xfrm>
          <a:off x="6185866" y="32315840"/>
          <a:ext cx="2003084" cy="3735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470453</xdr:colOff>
      <xdr:row>191</xdr:row>
      <xdr:rowOff>1753</xdr:rowOff>
    </xdr:from>
    <xdr:to>
      <xdr:col>3</xdr:col>
      <xdr:colOff>725366</xdr:colOff>
      <xdr:row>192</xdr:row>
      <xdr:rowOff>14494</xdr:rowOff>
    </xdr:to>
    <xdr:pic>
      <xdr:nvPicPr>
        <xdr:cNvPr id="18" name="Picture 7">
          <a:extLst>
            <a:ext uri="{FF2B5EF4-FFF2-40B4-BE49-F238E27FC236}">
              <a16:creationId xmlns:a16="http://schemas.microsoft.com/office/drawing/2014/main" id="{F3BA31D7-180F-4E21-82ED-DFD64CAD864E}"/>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l="16185" r="2258" b="6694"/>
        <a:stretch>
          <a:fillRect/>
        </a:stretch>
      </xdr:blipFill>
      <xdr:spPr bwMode="auto">
        <a:xfrm>
          <a:off x="1689653" y="32624878"/>
          <a:ext cx="864513" cy="1746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589722</xdr:colOff>
      <xdr:row>192</xdr:row>
      <xdr:rowOff>45969</xdr:rowOff>
    </xdr:from>
    <xdr:to>
      <xdr:col>7</xdr:col>
      <xdr:colOff>846897</xdr:colOff>
      <xdr:row>194</xdr:row>
      <xdr:rowOff>144946</xdr:rowOff>
    </xdr:to>
    <xdr:pic>
      <xdr:nvPicPr>
        <xdr:cNvPr id="19" name="Picture 8">
          <a:extLst>
            <a:ext uri="{FF2B5EF4-FFF2-40B4-BE49-F238E27FC236}">
              <a16:creationId xmlns:a16="http://schemas.microsoft.com/office/drawing/2014/main" id="{5786F806-0212-4C77-A06A-AA2240F6483F}"/>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l="5937" r="13055"/>
        <a:stretch>
          <a:fillRect/>
        </a:stretch>
      </xdr:blipFill>
      <xdr:spPr bwMode="auto">
        <a:xfrm>
          <a:off x="4914072" y="32831019"/>
          <a:ext cx="866775" cy="4228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125896</xdr:colOff>
      <xdr:row>191</xdr:row>
      <xdr:rowOff>90834</xdr:rowOff>
    </xdr:from>
    <xdr:to>
      <xdr:col>10</xdr:col>
      <xdr:colOff>470295</xdr:colOff>
      <xdr:row>195</xdr:row>
      <xdr:rowOff>35333</xdr:rowOff>
    </xdr:to>
    <xdr:pic>
      <xdr:nvPicPr>
        <xdr:cNvPr id="20" name="Picture 13">
          <a:extLst>
            <a:ext uri="{FF2B5EF4-FFF2-40B4-BE49-F238E27FC236}">
              <a16:creationId xmlns:a16="http://schemas.microsoft.com/office/drawing/2014/main" id="{FC0D6B43-DE6B-4168-8F98-B86E392BE85D}"/>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l="-916" t="3220" r="6877" b="6812"/>
        <a:stretch>
          <a:fillRect/>
        </a:stretch>
      </xdr:blipFill>
      <xdr:spPr bwMode="auto">
        <a:xfrm>
          <a:off x="6059971" y="32713959"/>
          <a:ext cx="2144624" cy="5921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505239</xdr:colOff>
      <xdr:row>192</xdr:row>
      <xdr:rowOff>77051</xdr:rowOff>
    </xdr:from>
    <xdr:to>
      <xdr:col>4</xdr:col>
      <xdr:colOff>87923</xdr:colOff>
      <xdr:row>194</xdr:row>
      <xdr:rowOff>144949</xdr:rowOff>
    </xdr:to>
    <xdr:pic>
      <xdr:nvPicPr>
        <xdr:cNvPr id="21" name="Picture 14">
          <a:extLst>
            <a:ext uri="{FF2B5EF4-FFF2-40B4-BE49-F238E27FC236}">
              <a16:creationId xmlns:a16="http://schemas.microsoft.com/office/drawing/2014/main" id="{3D6406CF-22A7-45D5-A31E-C39C05D8DD1A}"/>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l="6581" t="15724" r="13402"/>
        <a:stretch>
          <a:fillRect/>
        </a:stretch>
      </xdr:blipFill>
      <xdr:spPr bwMode="auto">
        <a:xfrm>
          <a:off x="1724439" y="32862101"/>
          <a:ext cx="963809" cy="3917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91108</xdr:colOff>
      <xdr:row>193</xdr:row>
      <xdr:rowOff>0</xdr:rowOff>
    </xdr:from>
    <xdr:to>
      <xdr:col>2</xdr:col>
      <xdr:colOff>376858</xdr:colOff>
      <xdr:row>194</xdr:row>
      <xdr:rowOff>1</xdr:rowOff>
    </xdr:to>
    <xdr:pic>
      <xdr:nvPicPr>
        <xdr:cNvPr id="22" name="Picture 15">
          <a:extLst>
            <a:ext uri="{FF2B5EF4-FFF2-40B4-BE49-F238E27FC236}">
              <a16:creationId xmlns:a16="http://schemas.microsoft.com/office/drawing/2014/main" id="{5CE56B3E-72C6-4DBA-AA0C-073C61D58BBB}"/>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t="18633"/>
        <a:stretch>
          <a:fillRect/>
        </a:stretch>
      </xdr:blipFill>
      <xdr:spPr bwMode="auto">
        <a:xfrm>
          <a:off x="91108" y="32946975"/>
          <a:ext cx="1504950" cy="161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535885</xdr:colOff>
      <xdr:row>212</xdr:row>
      <xdr:rowOff>150239</xdr:rowOff>
    </xdr:from>
    <xdr:to>
      <xdr:col>10</xdr:col>
      <xdr:colOff>242935</xdr:colOff>
      <xdr:row>215</xdr:row>
      <xdr:rowOff>139148</xdr:rowOff>
    </xdr:to>
    <xdr:pic>
      <xdr:nvPicPr>
        <xdr:cNvPr id="23" name="Picture 1">
          <a:extLst>
            <a:ext uri="{FF2B5EF4-FFF2-40B4-BE49-F238E27FC236}">
              <a16:creationId xmlns:a16="http://schemas.microsoft.com/office/drawing/2014/main" id="{E1A8074C-BCE5-4F8A-9822-893AA6A5853B}"/>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4860235" y="36450014"/>
          <a:ext cx="3117000" cy="4746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646044</xdr:colOff>
      <xdr:row>189</xdr:row>
      <xdr:rowOff>33130</xdr:rowOff>
    </xdr:from>
    <xdr:to>
      <xdr:col>6</xdr:col>
      <xdr:colOff>218704</xdr:colOff>
      <xdr:row>190</xdr:row>
      <xdr:rowOff>49694</xdr:rowOff>
    </xdr:to>
    <xdr:pic>
      <xdr:nvPicPr>
        <xdr:cNvPr id="24" name="Picture 23">
          <a:extLst>
            <a:ext uri="{FF2B5EF4-FFF2-40B4-BE49-F238E27FC236}">
              <a16:creationId xmlns:a16="http://schemas.microsoft.com/office/drawing/2014/main" id="{9A708E0C-1821-48FD-B07B-7B7ECEC5B61E}"/>
            </a:ext>
          </a:extLst>
        </xdr:cNvPr>
        <xdr:cNvPicPr>
          <a:picLocks noChangeAspect="1"/>
        </xdr:cNvPicPr>
      </xdr:nvPicPr>
      <xdr:blipFill rotWithShape="1">
        <a:blip xmlns:r="http://schemas.openxmlformats.org/officeDocument/2006/relationships" r:embed="rId20"/>
        <a:srcRect r="41631" b="56963"/>
        <a:stretch/>
      </xdr:blipFill>
      <xdr:spPr>
        <a:xfrm>
          <a:off x="3246369" y="32332405"/>
          <a:ext cx="1296685" cy="178489"/>
        </a:xfrm>
        <a:prstGeom prst="rect">
          <a:avLst/>
        </a:prstGeom>
      </xdr:spPr>
    </xdr:pic>
    <xdr:clientData/>
  </xdr:twoCellAnchor>
  <xdr:twoCellAnchor editAs="oneCell">
    <xdr:from>
      <xdr:col>4</xdr:col>
      <xdr:colOff>637761</xdr:colOff>
      <xdr:row>190</xdr:row>
      <xdr:rowOff>74543</xdr:rowOff>
    </xdr:from>
    <xdr:to>
      <xdr:col>6</xdr:col>
      <xdr:colOff>273388</xdr:colOff>
      <xdr:row>191</xdr:row>
      <xdr:rowOff>74543</xdr:rowOff>
    </xdr:to>
    <xdr:pic>
      <xdr:nvPicPr>
        <xdr:cNvPr id="25" name="Picture 24">
          <a:extLst>
            <a:ext uri="{FF2B5EF4-FFF2-40B4-BE49-F238E27FC236}">
              <a16:creationId xmlns:a16="http://schemas.microsoft.com/office/drawing/2014/main" id="{8D6BAD87-2509-404A-BC3E-185DFB0CCAF0}"/>
            </a:ext>
          </a:extLst>
        </xdr:cNvPr>
        <xdr:cNvPicPr>
          <a:picLocks noChangeAspect="1"/>
        </xdr:cNvPicPr>
      </xdr:nvPicPr>
      <xdr:blipFill rotWithShape="1">
        <a:blip xmlns:r="http://schemas.openxmlformats.org/officeDocument/2006/relationships" r:embed="rId20"/>
        <a:srcRect l="46985" t="69678" r="-1471" b="-4517"/>
        <a:stretch/>
      </xdr:blipFill>
      <xdr:spPr>
        <a:xfrm>
          <a:off x="3238086" y="32535743"/>
          <a:ext cx="1359652" cy="161925"/>
        </a:xfrm>
        <a:prstGeom prst="rect">
          <a:avLst/>
        </a:prstGeom>
      </xdr:spPr>
    </xdr:pic>
    <xdr:clientData/>
  </xdr:twoCellAnchor>
  <xdr:twoCellAnchor editAs="oneCell">
    <xdr:from>
      <xdr:col>4</xdr:col>
      <xdr:colOff>621195</xdr:colOff>
      <xdr:row>191</xdr:row>
      <xdr:rowOff>132504</xdr:rowOff>
    </xdr:from>
    <xdr:to>
      <xdr:col>6</xdr:col>
      <xdr:colOff>189930</xdr:colOff>
      <xdr:row>192</xdr:row>
      <xdr:rowOff>144985</xdr:rowOff>
    </xdr:to>
    <xdr:pic>
      <xdr:nvPicPr>
        <xdr:cNvPr id="26" name="Picture 25">
          <a:extLst>
            <a:ext uri="{FF2B5EF4-FFF2-40B4-BE49-F238E27FC236}">
              <a16:creationId xmlns:a16="http://schemas.microsoft.com/office/drawing/2014/main" id="{88BC3AA2-0585-48E9-AA61-3505E95733B1}"/>
            </a:ext>
          </a:extLst>
        </xdr:cNvPr>
        <xdr:cNvPicPr>
          <a:picLocks noChangeAspect="1"/>
        </xdr:cNvPicPr>
      </xdr:nvPicPr>
      <xdr:blipFill>
        <a:blip xmlns:r="http://schemas.openxmlformats.org/officeDocument/2006/relationships" r:embed="rId21"/>
        <a:stretch>
          <a:fillRect/>
        </a:stretch>
      </xdr:blipFill>
      <xdr:spPr>
        <a:xfrm>
          <a:off x="3221520" y="32755629"/>
          <a:ext cx="1292760" cy="174406"/>
        </a:xfrm>
        <a:prstGeom prst="rect">
          <a:avLst/>
        </a:prstGeom>
      </xdr:spPr>
    </xdr:pic>
    <xdr:clientData/>
  </xdr:twoCellAnchor>
  <xdr:twoCellAnchor editAs="oneCell">
    <xdr:from>
      <xdr:col>4</xdr:col>
      <xdr:colOff>629478</xdr:colOff>
      <xdr:row>193</xdr:row>
      <xdr:rowOff>24849</xdr:rowOff>
    </xdr:from>
    <xdr:to>
      <xdr:col>6</xdr:col>
      <xdr:colOff>183989</xdr:colOff>
      <xdr:row>194</xdr:row>
      <xdr:rowOff>45595</xdr:rowOff>
    </xdr:to>
    <xdr:pic>
      <xdr:nvPicPr>
        <xdr:cNvPr id="27" name="Picture 26">
          <a:extLst>
            <a:ext uri="{FF2B5EF4-FFF2-40B4-BE49-F238E27FC236}">
              <a16:creationId xmlns:a16="http://schemas.microsoft.com/office/drawing/2014/main" id="{F06E5378-8D9D-4493-8F58-B94752E2757D}"/>
            </a:ext>
          </a:extLst>
        </xdr:cNvPr>
        <xdr:cNvPicPr>
          <a:picLocks noChangeAspect="1"/>
        </xdr:cNvPicPr>
      </xdr:nvPicPr>
      <xdr:blipFill>
        <a:blip xmlns:r="http://schemas.openxmlformats.org/officeDocument/2006/relationships" r:embed="rId22"/>
        <a:stretch>
          <a:fillRect/>
        </a:stretch>
      </xdr:blipFill>
      <xdr:spPr>
        <a:xfrm>
          <a:off x="3229803" y="32971824"/>
          <a:ext cx="1278536" cy="182671"/>
        </a:xfrm>
        <a:prstGeom prst="rect">
          <a:avLst/>
        </a:prstGeom>
      </xdr:spPr>
    </xdr:pic>
    <xdr:clientData/>
  </xdr:twoCellAnchor>
  <xdr:twoCellAnchor editAs="oneCell">
    <xdr:from>
      <xdr:col>6</xdr:col>
      <xdr:colOff>596348</xdr:colOff>
      <xdr:row>189</xdr:row>
      <xdr:rowOff>11379</xdr:rowOff>
    </xdr:from>
    <xdr:to>
      <xdr:col>7</xdr:col>
      <xdr:colOff>935936</xdr:colOff>
      <xdr:row>191</xdr:row>
      <xdr:rowOff>144640</xdr:rowOff>
    </xdr:to>
    <xdr:pic>
      <xdr:nvPicPr>
        <xdr:cNvPr id="28" name="Picture 27">
          <a:extLst>
            <a:ext uri="{FF2B5EF4-FFF2-40B4-BE49-F238E27FC236}">
              <a16:creationId xmlns:a16="http://schemas.microsoft.com/office/drawing/2014/main" id="{431CC44D-4C47-4FDF-A6BE-85BDFFE2C5DE}"/>
            </a:ext>
          </a:extLst>
        </xdr:cNvPr>
        <xdr:cNvPicPr>
          <a:picLocks noChangeAspect="1"/>
        </xdr:cNvPicPr>
      </xdr:nvPicPr>
      <xdr:blipFill rotWithShape="1">
        <a:blip xmlns:r="http://schemas.openxmlformats.org/officeDocument/2006/relationships" r:embed="rId23"/>
        <a:srcRect l="6251" t="15713"/>
        <a:stretch/>
      </xdr:blipFill>
      <xdr:spPr>
        <a:xfrm>
          <a:off x="4920698" y="32310654"/>
          <a:ext cx="949188" cy="457111"/>
        </a:xfrm>
        <a:prstGeom prst="rect">
          <a:avLst/>
        </a:prstGeom>
      </xdr:spPr>
    </xdr:pic>
    <xdr:clientData/>
  </xdr:twoCellAnchor>
  <xdr:twoCellAnchor editAs="oneCell">
    <xdr:from>
      <xdr:col>3</xdr:col>
      <xdr:colOff>517250</xdr:colOff>
      <xdr:row>208</xdr:row>
      <xdr:rowOff>123825</xdr:rowOff>
    </xdr:from>
    <xdr:to>
      <xdr:col>4</xdr:col>
      <xdr:colOff>1095761</xdr:colOff>
      <xdr:row>211</xdr:row>
      <xdr:rowOff>27002</xdr:rowOff>
    </xdr:to>
    <xdr:pic>
      <xdr:nvPicPr>
        <xdr:cNvPr id="29" name="Picture 28">
          <a:extLst>
            <a:ext uri="{FF2B5EF4-FFF2-40B4-BE49-F238E27FC236}">
              <a16:creationId xmlns:a16="http://schemas.microsoft.com/office/drawing/2014/main" id="{54F9EB7B-06DA-442A-BE66-A40382EA8926}"/>
            </a:ext>
          </a:extLst>
        </xdr:cNvPr>
        <xdr:cNvPicPr>
          <a:picLocks noChangeAspect="1"/>
        </xdr:cNvPicPr>
      </xdr:nvPicPr>
      <xdr:blipFill rotWithShape="1">
        <a:blip xmlns:r="http://schemas.openxmlformats.org/officeDocument/2006/relationships" r:embed="rId24"/>
        <a:srcRect t="14222"/>
        <a:stretch/>
      </xdr:blipFill>
      <xdr:spPr>
        <a:xfrm>
          <a:off x="2346050" y="35737800"/>
          <a:ext cx="1350036" cy="427052"/>
        </a:xfrm>
        <a:prstGeom prst="rect">
          <a:avLst/>
        </a:prstGeom>
      </xdr:spPr>
    </xdr:pic>
    <xdr:clientData/>
  </xdr:twoCellAnchor>
  <xdr:twoCellAnchor editAs="oneCell">
    <xdr:from>
      <xdr:col>0</xdr:col>
      <xdr:colOff>35997</xdr:colOff>
      <xdr:row>190</xdr:row>
      <xdr:rowOff>157300</xdr:rowOff>
    </xdr:from>
    <xdr:to>
      <xdr:col>2</xdr:col>
      <xdr:colOff>300404</xdr:colOff>
      <xdr:row>192</xdr:row>
      <xdr:rowOff>38138</xdr:rowOff>
    </xdr:to>
    <xdr:pic>
      <xdr:nvPicPr>
        <xdr:cNvPr id="30" name="Picture 29">
          <a:extLst>
            <a:ext uri="{FF2B5EF4-FFF2-40B4-BE49-F238E27FC236}">
              <a16:creationId xmlns:a16="http://schemas.microsoft.com/office/drawing/2014/main" id="{95BC5721-C7A0-4BB8-A3AA-A0A8B09C658F}"/>
            </a:ext>
          </a:extLst>
        </xdr:cNvPr>
        <xdr:cNvPicPr>
          <a:picLocks noChangeAspect="1"/>
        </xdr:cNvPicPr>
      </xdr:nvPicPr>
      <xdr:blipFill>
        <a:blip xmlns:r="http://schemas.openxmlformats.org/officeDocument/2006/relationships" r:embed="rId25"/>
        <a:stretch>
          <a:fillRect/>
        </a:stretch>
      </xdr:blipFill>
      <xdr:spPr>
        <a:xfrm>
          <a:off x="35997" y="32618500"/>
          <a:ext cx="1483607" cy="204688"/>
        </a:xfrm>
        <a:prstGeom prst="rect">
          <a:avLst/>
        </a:prstGeom>
      </xdr:spPr>
    </xdr:pic>
    <xdr:clientData/>
  </xdr:twoCellAnchor>
  <xdr:twoCellAnchor editAs="oneCell">
    <xdr:from>
      <xdr:col>3</xdr:col>
      <xdr:colOff>409575</xdr:colOff>
      <xdr:row>207</xdr:row>
      <xdr:rowOff>9310</xdr:rowOff>
    </xdr:from>
    <xdr:to>
      <xdr:col>4</xdr:col>
      <xdr:colOff>825019</xdr:colOff>
      <xdr:row>208</xdr:row>
      <xdr:rowOff>57185</xdr:rowOff>
    </xdr:to>
    <xdr:pic>
      <xdr:nvPicPr>
        <xdr:cNvPr id="31" name="Picture 30">
          <a:extLst>
            <a:ext uri="{FF2B5EF4-FFF2-40B4-BE49-F238E27FC236}">
              <a16:creationId xmlns:a16="http://schemas.microsoft.com/office/drawing/2014/main" id="{B5855F64-3BCF-4D7A-83BE-1D50C8DC6AB8}"/>
            </a:ext>
          </a:extLst>
        </xdr:cNvPr>
        <xdr:cNvPicPr>
          <a:picLocks noChangeAspect="1"/>
        </xdr:cNvPicPr>
      </xdr:nvPicPr>
      <xdr:blipFill>
        <a:blip xmlns:r="http://schemas.openxmlformats.org/officeDocument/2006/relationships" r:embed="rId26"/>
        <a:stretch>
          <a:fillRect/>
        </a:stretch>
      </xdr:blipFill>
      <xdr:spPr>
        <a:xfrm>
          <a:off x="2238375" y="35461360"/>
          <a:ext cx="1186969" cy="209800"/>
        </a:xfrm>
        <a:prstGeom prst="rect">
          <a:avLst/>
        </a:prstGeom>
      </xdr:spPr>
    </xdr:pic>
    <xdr:clientData/>
  </xdr:twoCellAnchor>
  <xdr:twoCellAnchor editAs="oneCell">
    <xdr:from>
      <xdr:col>5</xdr:col>
      <xdr:colOff>33130</xdr:colOff>
      <xdr:row>220</xdr:row>
      <xdr:rowOff>145455</xdr:rowOff>
    </xdr:from>
    <xdr:to>
      <xdr:col>6</xdr:col>
      <xdr:colOff>555807</xdr:colOff>
      <xdr:row>223</xdr:row>
      <xdr:rowOff>1</xdr:rowOff>
    </xdr:to>
    <xdr:pic>
      <xdr:nvPicPr>
        <xdr:cNvPr id="32" name="Picture 31">
          <a:extLst>
            <a:ext uri="{FF2B5EF4-FFF2-40B4-BE49-F238E27FC236}">
              <a16:creationId xmlns:a16="http://schemas.microsoft.com/office/drawing/2014/main" id="{B13F8332-F049-4C6B-BA25-5ED861571D27}"/>
            </a:ext>
          </a:extLst>
        </xdr:cNvPr>
        <xdr:cNvPicPr>
          <a:picLocks noChangeAspect="1"/>
        </xdr:cNvPicPr>
      </xdr:nvPicPr>
      <xdr:blipFill rotWithShape="1">
        <a:blip xmlns:r="http://schemas.openxmlformats.org/officeDocument/2006/relationships" r:embed="rId27"/>
        <a:srcRect l="5409" t="7144" b="6807"/>
        <a:stretch/>
      </xdr:blipFill>
      <xdr:spPr>
        <a:xfrm>
          <a:off x="3747880" y="37854930"/>
          <a:ext cx="1132277" cy="349846"/>
        </a:xfrm>
        <a:prstGeom prst="rect">
          <a:avLst/>
        </a:prstGeom>
      </xdr:spPr>
    </xdr:pic>
    <xdr:clientData/>
  </xdr:twoCellAnchor>
  <xdr:twoCellAnchor editAs="oneCell">
    <xdr:from>
      <xdr:col>9</xdr:col>
      <xdr:colOff>289065</xdr:colOff>
      <xdr:row>220</xdr:row>
      <xdr:rowOff>157369</xdr:rowOff>
    </xdr:from>
    <xdr:to>
      <xdr:col>10</xdr:col>
      <xdr:colOff>192412</xdr:colOff>
      <xdr:row>222</xdr:row>
      <xdr:rowOff>157370</xdr:rowOff>
    </xdr:to>
    <xdr:pic>
      <xdr:nvPicPr>
        <xdr:cNvPr id="33" name="Picture 32">
          <a:extLst>
            <a:ext uri="{FF2B5EF4-FFF2-40B4-BE49-F238E27FC236}">
              <a16:creationId xmlns:a16="http://schemas.microsoft.com/office/drawing/2014/main" id="{2E7CB771-A8B7-4701-A72F-C5427651D619}"/>
            </a:ext>
          </a:extLst>
        </xdr:cNvPr>
        <xdr:cNvPicPr>
          <a:picLocks noChangeAspect="1"/>
        </xdr:cNvPicPr>
      </xdr:nvPicPr>
      <xdr:blipFill rotWithShape="1">
        <a:blip xmlns:r="http://schemas.openxmlformats.org/officeDocument/2006/relationships" r:embed="rId28"/>
        <a:srcRect t="10905" b="3013"/>
        <a:stretch/>
      </xdr:blipFill>
      <xdr:spPr>
        <a:xfrm>
          <a:off x="6832740" y="37866844"/>
          <a:ext cx="1093972" cy="323851"/>
        </a:xfrm>
        <a:prstGeom prst="rect">
          <a:avLst/>
        </a:prstGeom>
      </xdr:spPr>
    </xdr:pic>
    <xdr:clientData/>
  </xdr:twoCellAnchor>
  <xdr:twoCellAnchor editAs="oneCell">
    <xdr:from>
      <xdr:col>0</xdr:col>
      <xdr:colOff>231915</xdr:colOff>
      <xdr:row>158</xdr:row>
      <xdr:rowOff>8282</xdr:rowOff>
    </xdr:from>
    <xdr:to>
      <xdr:col>1</xdr:col>
      <xdr:colOff>231914</xdr:colOff>
      <xdr:row>159</xdr:row>
      <xdr:rowOff>33182</xdr:rowOff>
    </xdr:to>
    <xdr:pic>
      <xdr:nvPicPr>
        <xdr:cNvPr id="34" name="Picture 33">
          <a:extLst>
            <a:ext uri="{FF2B5EF4-FFF2-40B4-BE49-F238E27FC236}">
              <a16:creationId xmlns:a16="http://schemas.microsoft.com/office/drawing/2014/main" id="{67F636A2-A974-4E7D-9E9E-C8445DC1C671}"/>
            </a:ext>
          </a:extLst>
        </xdr:cNvPr>
        <xdr:cNvPicPr>
          <a:picLocks noChangeAspect="1"/>
        </xdr:cNvPicPr>
      </xdr:nvPicPr>
      <xdr:blipFill rotWithShape="1">
        <a:blip xmlns:r="http://schemas.openxmlformats.org/officeDocument/2006/relationships" r:embed="rId29"/>
        <a:srcRect t="23053"/>
        <a:stretch/>
      </xdr:blipFill>
      <xdr:spPr>
        <a:xfrm>
          <a:off x="231915" y="26973557"/>
          <a:ext cx="609599" cy="186825"/>
        </a:xfrm>
        <a:prstGeom prst="rect">
          <a:avLst/>
        </a:prstGeom>
      </xdr:spPr>
    </xdr:pic>
    <xdr:clientData/>
  </xdr:twoCellAnchor>
  <xdr:twoCellAnchor editAs="oneCell">
    <xdr:from>
      <xdr:col>0</xdr:col>
      <xdr:colOff>24848</xdr:colOff>
      <xdr:row>49</xdr:row>
      <xdr:rowOff>8283</xdr:rowOff>
    </xdr:from>
    <xdr:to>
      <xdr:col>1</xdr:col>
      <xdr:colOff>49696</xdr:colOff>
      <xdr:row>50</xdr:row>
      <xdr:rowOff>3758</xdr:rowOff>
    </xdr:to>
    <xdr:pic>
      <xdr:nvPicPr>
        <xdr:cNvPr id="35" name="Picture 34">
          <a:extLst>
            <a:ext uri="{FF2B5EF4-FFF2-40B4-BE49-F238E27FC236}">
              <a16:creationId xmlns:a16="http://schemas.microsoft.com/office/drawing/2014/main" id="{66B30096-0D4E-4C99-BF68-914750459DCE}"/>
            </a:ext>
          </a:extLst>
        </xdr:cNvPr>
        <xdr:cNvPicPr>
          <a:picLocks noChangeAspect="1"/>
        </xdr:cNvPicPr>
      </xdr:nvPicPr>
      <xdr:blipFill rotWithShape="1">
        <a:blip xmlns:r="http://schemas.openxmlformats.org/officeDocument/2006/relationships" r:embed="rId30"/>
        <a:srcRect t="15420" b="-1"/>
        <a:stretch/>
      </xdr:blipFill>
      <xdr:spPr>
        <a:xfrm>
          <a:off x="24848" y="8809383"/>
          <a:ext cx="634448" cy="157400"/>
        </a:xfrm>
        <a:prstGeom prst="rect">
          <a:avLst/>
        </a:prstGeom>
      </xdr:spPr>
    </xdr:pic>
    <xdr:clientData/>
  </xdr:twoCellAnchor>
  <xdr:twoCellAnchor>
    <xdr:from>
      <xdr:col>7</xdr:col>
      <xdr:colOff>57979</xdr:colOff>
      <xdr:row>50</xdr:row>
      <xdr:rowOff>66259</xdr:rowOff>
    </xdr:from>
    <xdr:to>
      <xdr:col>9</xdr:col>
      <xdr:colOff>778565</xdr:colOff>
      <xdr:row>52</xdr:row>
      <xdr:rowOff>115958</xdr:rowOff>
    </xdr:to>
    <xdr:grpSp>
      <xdr:nvGrpSpPr>
        <xdr:cNvPr id="36" name="Group 35">
          <a:extLst>
            <a:ext uri="{FF2B5EF4-FFF2-40B4-BE49-F238E27FC236}">
              <a16:creationId xmlns:a16="http://schemas.microsoft.com/office/drawing/2014/main" id="{9716B06C-EEF6-4C0C-B12A-B9B701383383}"/>
            </a:ext>
          </a:extLst>
        </xdr:cNvPr>
        <xdr:cNvGrpSpPr/>
      </xdr:nvGrpSpPr>
      <xdr:grpSpPr>
        <a:xfrm>
          <a:off x="5359134" y="9039466"/>
          <a:ext cx="2402241" cy="378147"/>
          <a:chOff x="3561522" y="8745611"/>
          <a:chExt cx="2410238" cy="431522"/>
        </a:xfrm>
      </xdr:grpSpPr>
      <xdr:pic>
        <xdr:nvPicPr>
          <xdr:cNvPr id="37" name="Picture 36">
            <a:extLst>
              <a:ext uri="{FF2B5EF4-FFF2-40B4-BE49-F238E27FC236}">
                <a16:creationId xmlns:a16="http://schemas.microsoft.com/office/drawing/2014/main" id="{1385B05B-50E3-3BD4-78F0-4953B5F0CC6A}"/>
              </a:ext>
            </a:extLst>
          </xdr:cNvPr>
          <xdr:cNvPicPr>
            <a:picLocks noChangeAspect="1"/>
          </xdr:cNvPicPr>
        </xdr:nvPicPr>
        <xdr:blipFill rotWithShape="1">
          <a:blip xmlns:r="http://schemas.openxmlformats.org/officeDocument/2006/relationships" r:embed="rId31"/>
          <a:srcRect t="5795" b="11606"/>
          <a:stretch/>
        </xdr:blipFill>
        <xdr:spPr>
          <a:xfrm>
            <a:off x="3934238" y="8745611"/>
            <a:ext cx="2037522" cy="431522"/>
          </a:xfrm>
          <a:prstGeom prst="rect">
            <a:avLst/>
          </a:prstGeom>
        </xdr:spPr>
      </xdr:pic>
      <xdr:pic>
        <xdr:nvPicPr>
          <xdr:cNvPr id="38" name="Picture 37">
            <a:extLst>
              <a:ext uri="{FF2B5EF4-FFF2-40B4-BE49-F238E27FC236}">
                <a16:creationId xmlns:a16="http://schemas.microsoft.com/office/drawing/2014/main" id="{956B4519-D154-92DB-5C1E-F01932F66847}"/>
              </a:ext>
            </a:extLst>
          </xdr:cNvPr>
          <xdr:cNvPicPr>
            <a:picLocks noChangeAspect="1"/>
          </xdr:cNvPicPr>
        </xdr:nvPicPr>
        <xdr:blipFill>
          <a:blip xmlns:r="http://schemas.openxmlformats.org/officeDocument/2006/relationships" r:embed="rId32"/>
          <a:stretch>
            <a:fillRect/>
          </a:stretch>
        </xdr:blipFill>
        <xdr:spPr>
          <a:xfrm>
            <a:off x="3561522" y="8837544"/>
            <a:ext cx="391633" cy="215798"/>
          </a:xfrm>
          <a:prstGeom prst="rect">
            <a:avLst/>
          </a:prstGeom>
        </xdr:spPr>
      </xdr:pic>
    </xdr:grpSp>
    <xdr:clientData/>
  </xdr:twoCellAnchor>
  <xdr:twoCellAnchor>
    <xdr:from>
      <xdr:col>6</xdr:col>
      <xdr:colOff>521803</xdr:colOff>
      <xdr:row>54</xdr:row>
      <xdr:rowOff>8283</xdr:rowOff>
    </xdr:from>
    <xdr:to>
      <xdr:col>10</xdr:col>
      <xdr:colOff>604629</xdr:colOff>
      <xdr:row>56</xdr:row>
      <xdr:rowOff>60120</xdr:rowOff>
    </xdr:to>
    <xdr:grpSp>
      <xdr:nvGrpSpPr>
        <xdr:cNvPr id="39" name="Group 38">
          <a:extLst>
            <a:ext uri="{FF2B5EF4-FFF2-40B4-BE49-F238E27FC236}">
              <a16:creationId xmlns:a16="http://schemas.microsoft.com/office/drawing/2014/main" id="{5DB5EDE1-FA85-4A6E-BFD6-E7BD3D7505D4}"/>
            </a:ext>
          </a:extLst>
        </xdr:cNvPr>
        <xdr:cNvGrpSpPr/>
      </xdr:nvGrpSpPr>
      <xdr:grpSpPr>
        <a:xfrm>
          <a:off x="5139786" y="9638386"/>
          <a:ext cx="3636636" cy="380286"/>
          <a:chOff x="3429000" y="9282749"/>
          <a:chExt cx="3544957" cy="401764"/>
        </a:xfrm>
      </xdr:grpSpPr>
      <xdr:pic>
        <xdr:nvPicPr>
          <xdr:cNvPr id="40" name="Picture 39">
            <a:extLst>
              <a:ext uri="{FF2B5EF4-FFF2-40B4-BE49-F238E27FC236}">
                <a16:creationId xmlns:a16="http://schemas.microsoft.com/office/drawing/2014/main" id="{D5801AF9-A3F7-9D5C-4755-D2C48D205E3C}"/>
              </a:ext>
            </a:extLst>
          </xdr:cNvPr>
          <xdr:cNvPicPr>
            <a:picLocks noChangeAspect="1"/>
          </xdr:cNvPicPr>
        </xdr:nvPicPr>
        <xdr:blipFill>
          <a:blip xmlns:r="http://schemas.openxmlformats.org/officeDocument/2006/relationships" r:embed="rId32"/>
          <a:stretch>
            <a:fillRect/>
          </a:stretch>
        </xdr:blipFill>
        <xdr:spPr>
          <a:xfrm>
            <a:off x="3429000" y="9334500"/>
            <a:ext cx="391633" cy="215798"/>
          </a:xfrm>
          <a:prstGeom prst="rect">
            <a:avLst/>
          </a:prstGeom>
        </xdr:spPr>
      </xdr:pic>
      <xdr:pic>
        <xdr:nvPicPr>
          <xdr:cNvPr id="41" name="Picture 40">
            <a:extLst>
              <a:ext uri="{FF2B5EF4-FFF2-40B4-BE49-F238E27FC236}">
                <a16:creationId xmlns:a16="http://schemas.microsoft.com/office/drawing/2014/main" id="{62650951-3B34-0F95-61BA-0136156CD644}"/>
              </a:ext>
            </a:extLst>
          </xdr:cNvPr>
          <xdr:cNvPicPr>
            <a:picLocks noChangeAspect="1"/>
          </xdr:cNvPicPr>
        </xdr:nvPicPr>
        <xdr:blipFill>
          <a:blip xmlns:r="http://schemas.openxmlformats.org/officeDocument/2006/relationships" r:embed="rId33"/>
          <a:stretch>
            <a:fillRect/>
          </a:stretch>
        </xdr:blipFill>
        <xdr:spPr>
          <a:xfrm>
            <a:off x="3818283" y="9282749"/>
            <a:ext cx="3155674" cy="401764"/>
          </a:xfrm>
          <a:prstGeom prst="rect">
            <a:avLst/>
          </a:prstGeom>
        </xdr:spPr>
      </xdr:pic>
    </xdr:grpSp>
    <xdr:clientData/>
  </xdr:twoCellAnchor>
  <xdr:twoCellAnchor editAs="oneCell">
    <xdr:from>
      <xdr:col>9</xdr:col>
      <xdr:colOff>505239</xdr:colOff>
      <xdr:row>57</xdr:row>
      <xdr:rowOff>30652</xdr:rowOff>
    </xdr:from>
    <xdr:to>
      <xdr:col>10</xdr:col>
      <xdr:colOff>300086</xdr:colOff>
      <xdr:row>59</xdr:row>
      <xdr:rowOff>145434</xdr:rowOff>
    </xdr:to>
    <xdr:pic>
      <xdr:nvPicPr>
        <xdr:cNvPr id="42" name="Picture 41">
          <a:extLst>
            <a:ext uri="{FF2B5EF4-FFF2-40B4-BE49-F238E27FC236}">
              <a16:creationId xmlns:a16="http://schemas.microsoft.com/office/drawing/2014/main" id="{2F64576D-AF32-499E-91B9-A97B3BAA2DB3}"/>
            </a:ext>
          </a:extLst>
        </xdr:cNvPr>
        <xdr:cNvPicPr>
          <a:picLocks noChangeAspect="1"/>
        </xdr:cNvPicPr>
      </xdr:nvPicPr>
      <xdr:blipFill>
        <a:blip xmlns:r="http://schemas.openxmlformats.org/officeDocument/2006/relationships" r:embed="rId34"/>
        <a:stretch>
          <a:fillRect/>
        </a:stretch>
      </xdr:blipFill>
      <xdr:spPr>
        <a:xfrm>
          <a:off x="7048914" y="10127152"/>
          <a:ext cx="985472" cy="438632"/>
        </a:xfrm>
        <a:prstGeom prst="rect">
          <a:avLst/>
        </a:prstGeom>
      </xdr:spPr>
    </xdr:pic>
    <xdr:clientData/>
  </xdr:twoCellAnchor>
  <xdr:twoCellAnchor>
    <xdr:from>
      <xdr:col>0</xdr:col>
      <xdr:colOff>104775</xdr:colOff>
      <xdr:row>120</xdr:row>
      <xdr:rowOff>95249</xdr:rowOff>
    </xdr:from>
    <xdr:to>
      <xdr:col>6</xdr:col>
      <xdr:colOff>486104</xdr:colOff>
      <xdr:row>140</xdr:row>
      <xdr:rowOff>78828</xdr:rowOff>
    </xdr:to>
    <xdr:graphicFrame macro="">
      <xdr:nvGraphicFramePr>
        <xdr:cNvPr id="43" name="Chart 42">
          <a:extLst>
            <a:ext uri="{FF2B5EF4-FFF2-40B4-BE49-F238E27FC236}">
              <a16:creationId xmlns:a16="http://schemas.microsoft.com/office/drawing/2014/main" id="{11B93D00-C77E-4A07-B031-C9AAE565BD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1</xdr:col>
      <xdr:colOff>446485</xdr:colOff>
      <xdr:row>127</xdr:row>
      <xdr:rowOff>172641</xdr:rowOff>
    </xdr:from>
    <xdr:to>
      <xdr:col>4</xdr:col>
      <xdr:colOff>821532</xdr:colOff>
      <xdr:row>137</xdr:row>
      <xdr:rowOff>29765</xdr:rowOff>
    </xdr:to>
    <xdr:cxnSp macro="">
      <xdr:nvCxnSpPr>
        <xdr:cNvPr id="45" name="Straight Connector 44">
          <a:extLst>
            <a:ext uri="{FF2B5EF4-FFF2-40B4-BE49-F238E27FC236}">
              <a16:creationId xmlns:a16="http://schemas.microsoft.com/office/drawing/2014/main" id="{80672B04-7643-D16C-0BE6-763A2157F305}"/>
            </a:ext>
          </a:extLst>
        </xdr:cNvPr>
        <xdr:cNvCxnSpPr/>
      </xdr:nvCxnSpPr>
      <xdr:spPr>
        <a:xfrm flipV="1">
          <a:off x="1131094" y="21705094"/>
          <a:ext cx="2518172" cy="150614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797719</xdr:colOff>
      <xdr:row>127</xdr:row>
      <xdr:rowOff>172641</xdr:rowOff>
    </xdr:from>
    <xdr:to>
      <xdr:col>4</xdr:col>
      <xdr:colOff>821532</xdr:colOff>
      <xdr:row>137</xdr:row>
      <xdr:rowOff>41672</xdr:rowOff>
    </xdr:to>
    <xdr:cxnSp macro="">
      <xdr:nvCxnSpPr>
        <xdr:cNvPr id="47" name="Straight Connector 46">
          <a:extLst>
            <a:ext uri="{FF2B5EF4-FFF2-40B4-BE49-F238E27FC236}">
              <a16:creationId xmlns:a16="http://schemas.microsoft.com/office/drawing/2014/main" id="{7F01A2C4-B3EF-B32C-6E8B-1DA11FF89794}"/>
            </a:ext>
          </a:extLst>
        </xdr:cNvPr>
        <xdr:cNvCxnSpPr/>
      </xdr:nvCxnSpPr>
      <xdr:spPr>
        <a:xfrm>
          <a:off x="3625453" y="21705094"/>
          <a:ext cx="23813" cy="151804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c:userShapes xmlns:c="http://schemas.openxmlformats.org/drawingml/2006/chart">
  <cdr:relSizeAnchor xmlns:cdr="http://schemas.openxmlformats.org/drawingml/2006/chartDrawing">
    <cdr:from>
      <cdr:x>0.20498</cdr:x>
      <cdr:y>0.37116</cdr:y>
    </cdr:from>
    <cdr:to>
      <cdr:x>0.70435</cdr:x>
      <cdr:y>0.38035</cdr:y>
    </cdr:to>
    <cdr:cxnSp macro="">
      <cdr:nvCxnSpPr>
        <cdr:cNvPr id="2" name="Straight Connector 1">
          <a:extLst xmlns:a="http://schemas.openxmlformats.org/drawingml/2006/main">
            <a:ext uri="{FF2B5EF4-FFF2-40B4-BE49-F238E27FC236}">
              <a16:creationId xmlns:a16="http://schemas.microsoft.com/office/drawing/2014/main" id="{7F01A2C4-B3EF-B32C-6E8B-1DA11FF89794}"/>
            </a:ext>
          </a:extLst>
        </cdr:cNvPr>
        <cdr:cNvCxnSpPr/>
      </cdr:nvCxnSpPr>
      <cdr:spPr>
        <a:xfrm xmlns:a="http://schemas.openxmlformats.org/drawingml/2006/main" flipH="1">
          <a:off x="1026319" y="1202532"/>
          <a:ext cx="2500312" cy="29765"/>
        </a:xfrm>
        <a:prstGeom xmlns:a="http://schemas.openxmlformats.org/drawingml/2006/main" prst="line">
          <a:avLst/>
        </a:prstGeom>
      </cdr:spPr>
      <cdr:style>
        <a:lnRef xmlns:a="http://schemas.openxmlformats.org/drawingml/2006/main" idx="1">
          <a:schemeClr val="dk1"/>
        </a:lnRef>
        <a:fillRef xmlns:a="http://schemas.openxmlformats.org/drawingml/2006/main" idx="0">
          <a:schemeClr val="dk1"/>
        </a:fillRef>
        <a:effectRef xmlns:a="http://schemas.openxmlformats.org/drawingml/2006/main" idx="0">
          <a:schemeClr val="dk1"/>
        </a:effectRef>
        <a:fontRef xmlns:a="http://schemas.openxmlformats.org/drawingml/2006/main" idx="minor">
          <a:schemeClr val="tx1"/>
        </a:fontRef>
      </cdr:style>
    </cdr:cxnSp>
  </cdr:relSizeAnchor>
</c:userShape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DMIN\Desktop\Ph&#7847;n%20m&#7873;m%20tk%20c&#7847;u\Ki&#234;m%20to&#225;n\B&#7843;ng%20t&#237;nh%20m&#7889;.xlsm" TargetMode="External"/><Relationship Id="rId1" Type="http://schemas.openxmlformats.org/officeDocument/2006/relationships/externalLinkPath" Target="Ph&#7847;n%20m&#7873;m%20tk%20c&#7847;u/Ki&#234;m%20to&#225;n/B&#7843;ng%20t&#237;nh%20m&#78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h&#7847;n%20m&#7873;m%20tk%20c&#7847;u/Ki&#234;m%20to&#225;n/BAN20(29-1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Anh/HaLong%20-%20CaiLan/BAN20(29-1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h&#7847;n%20m&#7873;m%20tk%20c&#7847;u/Ki&#234;m%20to&#225;n/Bang%20tinh%20tru1truc.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h&#7847;n%20m&#7873;m%20tk%20c&#7847;u/Ki&#234;m%20to&#225;n/CauVuot106/PierT2-A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VAnh/01/NoLin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uperLoad"/>
      <sheetName val="Số liệu đầu vào + nội lực"/>
      <sheetName val="Kiểm toán tường thân"/>
      <sheetName val="Kiểm toán bệ mố"/>
      <sheetName val="Kiểm toán bệ mố chống và giằng"/>
      <sheetName val="00000000"/>
    </sheetNames>
    <sheetDataSet>
      <sheetData sheetId="0">
        <row r="19">
          <cell r="E19">
            <v>6</v>
          </cell>
        </row>
        <row r="20">
          <cell r="E20">
            <v>0.65</v>
          </cell>
        </row>
        <row r="22">
          <cell r="J22">
            <v>35</v>
          </cell>
        </row>
        <row r="23">
          <cell r="J23">
            <v>145</v>
          </cell>
        </row>
        <row r="24">
          <cell r="J24">
            <v>145</v>
          </cell>
        </row>
        <row r="25">
          <cell r="J25">
            <v>4.3</v>
          </cell>
        </row>
        <row r="26">
          <cell r="J26">
            <v>4.3</v>
          </cell>
        </row>
        <row r="28">
          <cell r="J28">
            <v>110</v>
          </cell>
        </row>
        <row r="29">
          <cell r="J29">
            <v>9.3000000000000007</v>
          </cell>
        </row>
        <row r="46">
          <cell r="D46">
            <v>37.6</v>
          </cell>
        </row>
      </sheetData>
      <sheetData sheetId="1">
        <row r="76">
          <cell r="B76">
            <v>0.1145</v>
          </cell>
        </row>
        <row r="89">
          <cell r="J89">
            <v>24.5</v>
          </cell>
        </row>
        <row r="91">
          <cell r="J91">
            <v>18.88</v>
          </cell>
        </row>
        <row r="93">
          <cell r="J93">
            <v>30</v>
          </cell>
        </row>
        <row r="102">
          <cell r="J102">
            <v>1</v>
          </cell>
          <cell r="K102">
            <v>3</v>
          </cell>
        </row>
        <row r="103">
          <cell r="J103">
            <v>3</v>
          </cell>
          <cell r="K103">
            <v>2</v>
          </cell>
        </row>
        <row r="104">
          <cell r="J104">
            <v>0</v>
          </cell>
        </row>
        <row r="105">
          <cell r="J105">
            <v>0</v>
          </cell>
        </row>
        <row r="107">
          <cell r="J107">
            <v>2.2000000000000002</v>
          </cell>
        </row>
        <row r="110">
          <cell r="J110">
            <v>10.8</v>
          </cell>
        </row>
        <row r="115">
          <cell r="E115">
            <v>6.61</v>
          </cell>
          <cell r="J115">
            <v>1.5</v>
          </cell>
        </row>
        <row r="116">
          <cell r="E116">
            <v>5</v>
          </cell>
          <cell r="J116">
            <v>2.2000000000000002</v>
          </cell>
        </row>
        <row r="117">
          <cell r="E117">
            <v>1.3</v>
          </cell>
          <cell r="J117">
            <v>2.2000000000000002</v>
          </cell>
        </row>
        <row r="118">
          <cell r="E118">
            <v>1.8</v>
          </cell>
          <cell r="J118">
            <v>3.5</v>
          </cell>
        </row>
        <row r="119">
          <cell r="E119">
            <v>0</v>
          </cell>
          <cell r="J119">
            <v>0</v>
          </cell>
        </row>
        <row r="120">
          <cell r="E120">
            <v>0.8</v>
          </cell>
          <cell r="J120">
            <v>1.25</v>
          </cell>
        </row>
        <row r="121">
          <cell r="E121">
            <v>1.25</v>
          </cell>
          <cell r="J121">
            <v>0.3</v>
          </cell>
        </row>
        <row r="122">
          <cell r="E122">
            <v>0.5</v>
          </cell>
          <cell r="J122">
            <v>5.0600000000000005</v>
          </cell>
        </row>
        <row r="123">
          <cell r="J123">
            <v>1.25</v>
          </cell>
        </row>
        <row r="124">
          <cell r="E124">
            <v>0</v>
          </cell>
          <cell r="J124">
            <v>3.5</v>
          </cell>
        </row>
        <row r="125">
          <cell r="E125">
            <v>0.4</v>
          </cell>
          <cell r="J125">
            <v>10</v>
          </cell>
        </row>
        <row r="126">
          <cell r="J126">
            <v>0.5</v>
          </cell>
        </row>
        <row r="127">
          <cell r="J127">
            <v>10</v>
          </cell>
        </row>
        <row r="293">
          <cell r="F293">
            <v>0.28599124714345525</v>
          </cell>
        </row>
        <row r="510">
          <cell r="F510">
            <v>2922.4936919440006</v>
          </cell>
          <cell r="G510">
            <v>0</v>
          </cell>
          <cell r="H510">
            <v>5499.610427792315</v>
          </cell>
          <cell r="I510">
            <v>0</v>
          </cell>
          <cell r="J510">
            <v>11576.54250944894</v>
          </cell>
          <cell r="K510">
            <v>0</v>
          </cell>
        </row>
        <row r="511">
          <cell r="F511">
            <v>2767.6399959440009</v>
          </cell>
          <cell r="G511">
            <v>0</v>
          </cell>
          <cell r="H511">
            <v>5106.7479385219285</v>
          </cell>
          <cell r="I511">
            <v>0</v>
          </cell>
          <cell r="J511">
            <v>10658.435421851344</v>
          </cell>
          <cell r="K511">
            <v>0</v>
          </cell>
        </row>
        <row r="512">
          <cell r="F512">
            <v>2245.0087719440007</v>
          </cell>
          <cell r="G512">
            <v>131.24160000000001</v>
          </cell>
          <cell r="H512">
            <v>3780.8370372343747</v>
          </cell>
          <cell r="I512">
            <v>100.72792799999999</v>
          </cell>
          <cell r="J512">
            <v>7559.8240012094548</v>
          </cell>
          <cell r="K512">
            <v>0</v>
          </cell>
        </row>
        <row r="513">
          <cell r="F513">
            <v>2245.0087719440007</v>
          </cell>
          <cell r="G513">
            <v>0</v>
          </cell>
          <cell r="H513">
            <v>4540.8882872343747</v>
          </cell>
          <cell r="I513">
            <v>0</v>
          </cell>
          <cell r="J513">
            <v>7615.8447824594541</v>
          </cell>
          <cell r="K513">
            <v>0</v>
          </cell>
        </row>
        <row r="514">
          <cell r="F514">
            <v>2767.6399959440009</v>
          </cell>
          <cell r="G514">
            <v>55.017600000000002</v>
          </cell>
          <cell r="H514">
            <v>5106.7479385219285</v>
          </cell>
          <cell r="I514">
            <v>78.448608000000007</v>
          </cell>
          <cell r="J514">
            <v>10658.435421851344</v>
          </cell>
          <cell r="K514">
            <v>0</v>
          </cell>
        </row>
        <row r="515">
          <cell r="F515">
            <v>3087.4352278215433</v>
          </cell>
          <cell r="G515">
            <v>0</v>
          </cell>
          <cell r="H515">
            <v>3440.301689744233</v>
          </cell>
          <cell r="I515">
            <v>0</v>
          </cell>
          <cell r="J515">
            <v>12577.524190797396</v>
          </cell>
          <cell r="K515">
            <v>0</v>
          </cell>
        </row>
        <row r="516">
          <cell r="F516">
            <v>2353.714002532236</v>
          </cell>
          <cell r="G516">
            <v>0</v>
          </cell>
          <cell r="H516">
            <v>4271.9151488223579</v>
          </cell>
          <cell r="I516">
            <v>0</v>
          </cell>
          <cell r="J516">
            <v>8112.5760159299807</v>
          </cell>
          <cell r="K516">
            <v>0</v>
          </cell>
        </row>
        <row r="517">
          <cell r="F517">
            <v>1982.6420688353885</v>
          </cell>
          <cell r="G517">
            <v>45.6432</v>
          </cell>
          <cell r="H517">
            <v>3931.3798013322157</v>
          </cell>
          <cell r="I517">
            <v>71.253755999999996</v>
          </cell>
          <cell r="J517">
            <v>8052.4726157407176</v>
          </cell>
          <cell r="K517">
            <v>0</v>
          </cell>
        </row>
        <row r="518">
          <cell r="F518">
            <v>2098.7823408353888</v>
          </cell>
          <cell r="G518">
            <v>0</v>
          </cell>
          <cell r="H518">
            <v>4226.0266682850051</v>
          </cell>
          <cell r="I518">
            <v>0</v>
          </cell>
          <cell r="J518">
            <v>8741.0529314389169</v>
          </cell>
          <cell r="K518">
            <v>0</v>
          </cell>
        </row>
        <row r="519">
          <cell r="F519">
            <v>1905.2152208353884</v>
          </cell>
          <cell r="G519">
            <v>0</v>
          </cell>
          <cell r="H519">
            <v>3734.9485566970225</v>
          </cell>
          <cell r="I519">
            <v>0</v>
          </cell>
          <cell r="J519">
            <v>7593.4190719419194</v>
          </cell>
          <cell r="K519">
            <v>0</v>
          </cell>
        </row>
        <row r="520">
          <cell r="F520">
            <v>1595.5078288353884</v>
          </cell>
          <cell r="G520">
            <v>65.620800000000003</v>
          </cell>
          <cell r="H520">
            <v>2949.2235781562499</v>
          </cell>
          <cell r="I520">
            <v>50.363963999999996</v>
          </cell>
          <cell r="J520">
            <v>5757.2048967467263</v>
          </cell>
          <cell r="K520">
            <v>0</v>
          </cell>
        </row>
        <row r="521">
          <cell r="F521">
            <v>580.70136000000002</v>
          </cell>
          <cell r="G521">
            <v>0</v>
          </cell>
          <cell r="H521">
            <v>1473.2343347639487</v>
          </cell>
          <cell r="I521">
            <v>0</v>
          </cell>
          <cell r="J521">
            <v>3442.9015784909875</v>
          </cell>
          <cell r="K521">
            <v>0</v>
          </cell>
        </row>
        <row r="522">
          <cell r="F522">
            <v>290.35068000000001</v>
          </cell>
          <cell r="G522">
            <v>0</v>
          </cell>
          <cell r="H522">
            <v>736.61716738197435</v>
          </cell>
          <cell r="I522">
            <v>0</v>
          </cell>
          <cell r="J522">
            <v>1721.4507892454938</v>
          </cell>
          <cell r="K522">
            <v>0</v>
          </cell>
        </row>
        <row r="652">
          <cell r="B652" t="e">
            <v>#DIV/0!</v>
          </cell>
        </row>
        <row r="794">
          <cell r="B794">
            <v>5.0600000000000005</v>
          </cell>
        </row>
        <row r="795">
          <cell r="B795">
            <v>-0.65000000000000036</v>
          </cell>
        </row>
        <row r="796">
          <cell r="B796">
            <v>2.2000000000000002</v>
          </cell>
        </row>
      </sheetData>
      <sheetData sheetId="2">
        <row r="15">
          <cell r="B15" t="str">
            <v>CĐ2</v>
          </cell>
        </row>
        <row r="16">
          <cell r="B16" t="str">
            <v>CĐ3</v>
          </cell>
        </row>
        <row r="17">
          <cell r="B17" t="str">
            <v>CĐ4</v>
          </cell>
        </row>
        <row r="18">
          <cell r="B18" t="str">
            <v>CĐ5</v>
          </cell>
        </row>
        <row r="19">
          <cell r="B19" t="str">
            <v>ĐB 1</v>
          </cell>
        </row>
        <row r="20">
          <cell r="B20" t="str">
            <v>ĐB 2</v>
          </cell>
        </row>
        <row r="21">
          <cell r="B21" t="str">
            <v>SD 1</v>
          </cell>
        </row>
        <row r="22">
          <cell r="B22" t="str">
            <v>SD 2</v>
          </cell>
        </row>
        <row r="23">
          <cell r="B23" t="str">
            <v>SD 3</v>
          </cell>
        </row>
        <row r="24">
          <cell r="B24" t="str">
            <v>SD 4</v>
          </cell>
        </row>
        <row r="25">
          <cell r="B25" t="str">
            <v>Mỏi I</v>
          </cell>
        </row>
        <row r="26">
          <cell r="B26" t="str">
            <v>Mỏi II</v>
          </cell>
        </row>
        <row r="102">
          <cell r="H102" t="str">
            <v>Tổ hợp sức kháng theo biểu đồ tương tác M-P</v>
          </cell>
        </row>
        <row r="104">
          <cell r="J104">
            <v>-11047.347734495437</v>
          </cell>
          <cell r="K104">
            <v>0</v>
          </cell>
        </row>
        <row r="105">
          <cell r="J105">
            <v>0</v>
          </cell>
          <cell r="K105">
            <v>10980.420580097596</v>
          </cell>
        </row>
        <row r="106">
          <cell r="J106">
            <v>20098.069083556864</v>
          </cell>
          <cell r="K106">
            <v>23049.247824287108</v>
          </cell>
        </row>
        <row r="107">
          <cell r="J107">
            <v>28287.236488184775</v>
          </cell>
          <cell r="K107">
            <v>27922.05834348419</v>
          </cell>
        </row>
        <row r="108">
          <cell r="J108">
            <v>36118.923988184768</v>
          </cell>
          <cell r="K108">
            <v>32036.824551347141</v>
          </cell>
        </row>
        <row r="109">
          <cell r="J109">
            <v>43950.611488184775</v>
          </cell>
          <cell r="K109">
            <v>35650.485129327295</v>
          </cell>
        </row>
        <row r="110">
          <cell r="J110">
            <v>51782.298988184768</v>
          </cell>
          <cell r="K110">
            <v>38763.040077424623</v>
          </cell>
        </row>
        <row r="111">
          <cell r="J111">
            <v>55698.142738184768</v>
          </cell>
          <cell r="K111">
            <v>40247.650849478057</v>
          </cell>
        </row>
        <row r="112">
          <cell r="J112">
            <v>59613.986488184768</v>
          </cell>
          <cell r="K112">
            <v>41374.489395639146</v>
          </cell>
        </row>
        <row r="113">
          <cell r="J113">
            <v>67445.67398818479</v>
          </cell>
          <cell r="K113">
            <v>43484.833083970865</v>
          </cell>
        </row>
        <row r="114">
          <cell r="J114">
            <v>75277.36148818479</v>
          </cell>
          <cell r="K114">
            <v>45094.071142419751</v>
          </cell>
        </row>
        <row r="115">
          <cell r="J115">
            <v>83109.048988184775</v>
          </cell>
          <cell r="K115">
            <v>46202.203570985846</v>
          </cell>
        </row>
        <row r="116">
          <cell r="J116">
            <v>89097.986488184775</v>
          </cell>
          <cell r="K116">
            <v>46800.029433498341</v>
          </cell>
        </row>
        <row r="117">
          <cell r="J117">
            <v>90940.736488184775</v>
          </cell>
          <cell r="K117">
            <v>46809.230369669109</v>
          </cell>
        </row>
        <row r="118">
          <cell r="J118">
            <v>99930.366708103305</v>
          </cell>
          <cell r="K118">
            <v>46082.880208528128</v>
          </cell>
        </row>
        <row r="119">
          <cell r="J119">
            <v>108754.57653946208</v>
          </cell>
          <cell r="K119">
            <v>44974.320321781692</v>
          </cell>
        </row>
        <row r="120">
          <cell r="J120">
            <v>117446.45005997297</v>
          </cell>
          <cell r="K120">
            <v>43459.771528574311</v>
          </cell>
        </row>
        <row r="121">
          <cell r="J121">
            <v>126030.80032791999</v>
          </cell>
          <cell r="K121">
            <v>41521.399443264389</v>
          </cell>
        </row>
        <row r="122">
          <cell r="J122">
            <v>134526.60203493206</v>
          </cell>
          <cell r="K122">
            <v>39145.566006243651</v>
          </cell>
        </row>
        <row r="123">
          <cell r="J123">
            <v>142948.61327449838</v>
          </cell>
          <cell r="K123">
            <v>36321.663837816763</v>
          </cell>
        </row>
        <row r="124">
          <cell r="J124">
            <v>150025.71720318968</v>
          </cell>
          <cell r="K124">
            <v>33288.169493187568</v>
          </cell>
        </row>
        <row r="125">
          <cell r="J125">
            <v>151308.48517305771</v>
          </cell>
          <cell r="K125">
            <v>33041.318690855827</v>
          </cell>
        </row>
        <row r="126">
          <cell r="J126">
            <v>207519.2327636845</v>
          </cell>
          <cell r="K126">
            <v>0</v>
          </cell>
        </row>
        <row r="129">
          <cell r="H129">
            <v>5499.610427792315</v>
          </cell>
          <cell r="I129">
            <v>11576.54250944894</v>
          </cell>
        </row>
        <row r="130">
          <cell r="H130">
            <v>5106.7479385219285</v>
          </cell>
          <cell r="I130">
            <v>10658.435421851344</v>
          </cell>
        </row>
        <row r="131">
          <cell r="H131">
            <v>3780.8370372343747</v>
          </cell>
          <cell r="I131">
            <v>7559.8240012094548</v>
          </cell>
        </row>
        <row r="132">
          <cell r="H132">
            <v>4540.8882872343747</v>
          </cell>
          <cell r="I132">
            <v>7615.8447824594541</v>
          </cell>
        </row>
        <row r="133">
          <cell r="H133">
            <v>5106.7479385219285</v>
          </cell>
          <cell r="I133">
            <v>10658.435421851344</v>
          </cell>
        </row>
        <row r="134">
          <cell r="H134">
            <v>3440.301689744233</v>
          </cell>
          <cell r="I134">
            <v>12577.524190797396</v>
          </cell>
        </row>
        <row r="135">
          <cell r="H135">
            <v>4271.9151488223579</v>
          </cell>
          <cell r="I135">
            <v>8112.5760159299807</v>
          </cell>
        </row>
        <row r="136">
          <cell r="H136">
            <v>3931.3798013322157</v>
          </cell>
          <cell r="I136">
            <v>8052.4726157407176</v>
          </cell>
        </row>
        <row r="137">
          <cell r="H137">
            <v>4226.0266682850051</v>
          </cell>
          <cell r="I137">
            <v>8741.0529314389169</v>
          </cell>
        </row>
        <row r="138">
          <cell r="H138">
            <v>3734.9485566970225</v>
          </cell>
          <cell r="I138">
            <v>7593.4190719419194</v>
          </cell>
        </row>
        <row r="139">
          <cell r="H139">
            <v>2949.2235781562499</v>
          </cell>
          <cell r="I139">
            <v>5757.2048967467263</v>
          </cell>
        </row>
        <row r="140">
          <cell r="H140">
            <v>1473.2343347639487</v>
          </cell>
          <cell r="I140">
            <v>3442.9015784909875</v>
          </cell>
        </row>
        <row r="141">
          <cell r="H141">
            <v>736.61716738197435</v>
          </cell>
          <cell r="I141">
            <v>1721.4507892454938</v>
          </cell>
        </row>
      </sheetData>
      <sheetData sheetId="3">
        <row r="3">
          <cell r="I3">
            <v>30</v>
          </cell>
        </row>
        <row r="10">
          <cell r="I10">
            <v>400</v>
          </cell>
        </row>
      </sheetData>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BAN"/>
      <sheetName val="Bia"/>
      <sheetName val="BAN (2)"/>
      <sheetName val="XXXXXXXX"/>
      <sheetName val="#REF"/>
      <sheetName val="BAN20(29-10)"/>
    </sheetNames>
    <definedNames>
      <definedName name="DataFilter"/>
      <definedName name="DataSort"/>
      <definedName name="GoBack"/>
    </definedNames>
    <sheetDataSet>
      <sheetData sheetId="0"/>
      <sheetData sheetId="1">
        <row r="9">
          <cell r="E9">
            <v>20</v>
          </cell>
        </row>
        <row r="70">
          <cell r="O70">
            <v>0</v>
          </cell>
          <cell r="P70">
            <v>1</v>
          </cell>
        </row>
        <row r="71">
          <cell r="O71" t="str">
            <v xml:space="preserve">    §èi víi dÇm bª t«ng cèt thÐp øng suÊt tr­íc</v>
          </cell>
          <cell r="P71" t="str">
            <v xml:space="preserve">    §èi víi dÇm bª t«ng cèt thÐp th­êng</v>
          </cell>
        </row>
        <row r="72">
          <cell r="O72" t="str">
            <v xml:space="preserve">  =   0.03L              (cho nhÞp gi¶n ®¬n), </v>
          </cell>
          <cell r="P72" t="str">
            <v xml:space="preserve">  =   1.2( L +3000)/30                (cho nhÞp gi¶n ®¬n), </v>
          </cell>
        </row>
        <row r="73">
          <cell r="O73">
            <v>579</v>
          </cell>
          <cell r="P73">
            <v>892</v>
          </cell>
        </row>
        <row r="74">
          <cell r="O74" t="str">
            <v xml:space="preserve">CÇu dÇm b¶n rçng btct øng suÊt tr­íc </v>
          </cell>
          <cell r="P74" t="str">
            <v xml:space="preserve">CÇu dÇm b¶n rçng bª t«ng cèt thÐp </v>
          </cell>
        </row>
        <row r="75">
          <cell r="O75" t="str">
            <v>CÇu dÇm b¶n rçng btct D¦L thiÕt kÕ theo  272-01-1998</v>
          </cell>
          <cell r="P75" t="str">
            <v>CÇu dÇm b¶n rçng BTCT  thiÕt kÕ theo  272-01-1998</v>
          </cell>
        </row>
        <row r="76">
          <cell r="O76" t="str">
            <v xml:space="preserve">   vµ lùc dù øng lùc </v>
          </cell>
          <cell r="P76" t="str">
            <v xml:space="preserve"> </v>
          </cell>
        </row>
        <row r="77">
          <cell r="O77" t="str">
            <v xml:space="preserve"> dù øng lùc vµ </v>
          </cell>
          <cell r="P77" t="str">
            <v xml:space="preserve"> </v>
          </cell>
        </row>
        <row r="78">
          <cell r="O78" t="str">
            <v xml:space="preserve">  Th«ng th­êng  h  ~   0.045L</v>
          </cell>
        </row>
        <row r="79">
          <cell r="O79">
            <v>868.5</v>
          </cell>
          <cell r="P79">
            <v>892</v>
          </cell>
        </row>
      </sheetData>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BAN"/>
      <sheetName val="Bia"/>
      <sheetName val="BAN (2)"/>
      <sheetName val="XXXXXXXX"/>
      <sheetName val="#REF"/>
    </sheetNames>
    <sheetDataSet>
      <sheetData sheetId="0"/>
      <sheetData sheetId="1">
        <row r="9">
          <cell r="E9">
            <v>20</v>
          </cell>
        </row>
      </sheetData>
      <sheetData sheetId="2"/>
      <sheetData sheetId="3"/>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a"/>
      <sheetName val="sl"/>
      <sheetName val="tinhnoiluctietdien"/>
      <sheetName val="Tohoptaitrong"/>
      <sheetName val="KTtru"/>
      <sheetName val="Conson"/>
      <sheetName val="KT coc"/>
      <sheetName val="Dulieu&amp;Ketqua"/>
      <sheetName val="Tinhcd"/>
      <sheetName val="Tinhcv"/>
      <sheetName val="00000000"/>
      <sheetName val="000000000000"/>
      <sheetName val="100000000000"/>
    </sheetNames>
    <sheetDataSet>
      <sheetData sheetId="0"/>
      <sheetData sheetId="1">
        <row r="39">
          <cell r="J39">
            <v>0.75</v>
          </cell>
        </row>
      </sheetData>
      <sheetData sheetId="2">
        <row r="6">
          <cell r="G6">
            <v>2500</v>
          </cell>
        </row>
        <row r="13">
          <cell r="G13">
            <v>200000</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a"/>
      <sheetName val="Column"/>
      <sheetName val="lived_load"/>
      <sheetName val="Combination"/>
      <sheetName val="MS(doc)"/>
      <sheetName val="MS(ngang)"/>
      <sheetName val="KTtru"/>
      <sheetName val="Conson"/>
      <sheetName val="Typical"/>
      <sheetName val="Coc"/>
    </sheetNames>
    <sheetDataSet>
      <sheetData sheetId="0"/>
      <sheetData sheetId="1"/>
      <sheetData sheetId="2"/>
      <sheetData sheetId="3"/>
      <sheetData sheetId="4">
        <row r="19">
          <cell r="F19">
            <v>420</v>
          </cell>
        </row>
        <row r="20">
          <cell r="F20">
            <v>30</v>
          </cell>
        </row>
      </sheetData>
      <sheetData sheetId="5"/>
      <sheetData sheetId="6"/>
      <sheetData sheetId="7"/>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Link"/>
      <sheetName val="PEDESB"/>
      <sheetName val="Section"/>
      <sheetName val="Sheet1"/>
    </sheetNames>
    <sheetDataSet>
      <sheetData sheetId="0" refreshError="1"/>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A369C-B844-459F-BC62-0FBB0E4CD191}">
  <sheetPr codeName="Sheet5">
    <pageSetUpPr fitToPage="1"/>
  </sheetPr>
  <dimension ref="A1:R267"/>
  <sheetViews>
    <sheetView showGridLines="0" tabSelected="1" view="pageBreakPreview" topLeftCell="A118" zoomScale="145" zoomScaleNormal="100" zoomScaleSheetLayoutView="145" workbookViewId="0">
      <selection activeCell="M124" sqref="M124"/>
    </sheetView>
  </sheetViews>
  <sheetFormatPr defaultRowHeight="12.75"/>
  <cols>
    <col min="1" max="3" width="9" style="2"/>
    <col min="4" max="4" width="10.125" style="2" bestFit="1" customWidth="1"/>
    <col min="5" max="5" width="14.625" style="2" bestFit="1" customWidth="1"/>
    <col min="6" max="7" width="9" style="2"/>
    <col min="8" max="8" width="13.125" style="2" bestFit="1" customWidth="1"/>
    <col min="9" max="9" width="9" style="2"/>
    <col min="10" max="10" width="15.625" style="2" bestFit="1" customWidth="1"/>
    <col min="11" max="11" width="9.875" style="2" bestFit="1" customWidth="1"/>
    <col min="12" max="12" width="11" style="2" bestFit="1" customWidth="1"/>
    <col min="13" max="13" width="12.25" style="2" bestFit="1" customWidth="1"/>
    <col min="14" max="18" width="9" style="2"/>
    <col min="19" max="19" width="10.5" style="2" bestFit="1" customWidth="1"/>
    <col min="20" max="16384" width="9" style="2"/>
  </cols>
  <sheetData>
    <row r="1" spans="1:17" ht="15">
      <c r="A1" s="1" t="s">
        <v>0</v>
      </c>
    </row>
    <row r="2" spans="1:17" ht="15">
      <c r="A2" s="1" t="s">
        <v>1</v>
      </c>
    </row>
    <row r="3" spans="1:17" ht="15.75">
      <c r="A3" s="3" t="s">
        <v>2</v>
      </c>
      <c r="B3" s="3"/>
      <c r="C3" s="3"/>
      <c r="D3" s="3"/>
      <c r="E3" s="3"/>
      <c r="F3" s="3"/>
      <c r="G3" s="3"/>
      <c r="H3" s="4" t="s">
        <v>3</v>
      </c>
      <c r="I3" s="5">
        <v>30</v>
      </c>
      <c r="J3" s="5"/>
      <c r="K3" s="6" t="s">
        <v>4</v>
      </c>
    </row>
    <row r="4" spans="1:17" ht="15.75">
      <c r="A4" s="3" t="s">
        <v>5</v>
      </c>
      <c r="B4" s="3"/>
      <c r="C4" s="3"/>
      <c r="D4" s="3"/>
      <c r="E4" s="3"/>
      <c r="F4" s="3"/>
      <c r="G4" s="3"/>
      <c r="H4" s="7" t="s">
        <v>6</v>
      </c>
      <c r="I4" s="8">
        <f>_xlfn.IFS(fc&lt;35,2320,fc&lt;105,2240+2.29*fc)</f>
        <v>2320</v>
      </c>
      <c r="J4" s="8"/>
      <c r="K4" s="9" t="s">
        <v>7</v>
      </c>
    </row>
    <row r="5" spans="1:17" ht="15.75">
      <c r="A5" s="3" t="s">
        <v>8</v>
      </c>
      <c r="B5" s="3"/>
      <c r="C5" s="3"/>
      <c r="D5" s="3"/>
      <c r="E5" s="3"/>
      <c r="F5" s="3"/>
      <c r="G5" s="3"/>
      <c r="H5" s="7" t="s">
        <v>9</v>
      </c>
      <c r="I5" s="5">
        <f>24.5</f>
        <v>24.5</v>
      </c>
      <c r="J5" s="5"/>
      <c r="K5" s="9" t="s">
        <v>7</v>
      </c>
    </row>
    <row r="6" spans="1:17" ht="15.75">
      <c r="A6" s="3" t="s">
        <v>10</v>
      </c>
      <c r="B6" s="3"/>
      <c r="C6" s="3"/>
      <c r="D6" s="3"/>
      <c r="E6" s="3"/>
      <c r="F6" s="3"/>
      <c r="G6" s="3"/>
      <c r="H6" s="4" t="s">
        <v>11</v>
      </c>
      <c r="I6" s="10">
        <f>0.0017*1*I4^2*fc^0.33</f>
        <v>28110.910032372714</v>
      </c>
      <c r="J6" s="10"/>
      <c r="K6" s="11" t="s">
        <v>12</v>
      </c>
    </row>
    <row r="7" spans="1:17">
      <c r="A7" s="3" t="s">
        <v>13</v>
      </c>
      <c r="B7" s="3"/>
      <c r="C7" s="3"/>
      <c r="D7" s="3"/>
      <c r="E7" s="3"/>
      <c r="F7" s="3"/>
      <c r="G7" s="3"/>
      <c r="H7" s="4"/>
      <c r="I7" s="12">
        <v>0.2</v>
      </c>
      <c r="J7" s="12"/>
      <c r="K7" s="11"/>
    </row>
    <row r="8" spans="1:17" ht="15.75">
      <c r="A8" s="3" t="s">
        <v>14</v>
      </c>
      <c r="B8" s="3"/>
      <c r="C8" s="3"/>
      <c r="D8" s="3"/>
      <c r="E8" s="3"/>
      <c r="F8" s="3"/>
      <c r="G8" s="3"/>
      <c r="H8" s="4" t="s">
        <v>15</v>
      </c>
      <c r="I8" s="8">
        <f>0.63*fc^0.5</f>
        <v>3.4506521122825466</v>
      </c>
      <c r="J8" s="8"/>
      <c r="K8" s="6" t="s">
        <v>4</v>
      </c>
    </row>
    <row r="9" spans="1:17" ht="15.75">
      <c r="A9" s="3" t="s">
        <v>16</v>
      </c>
      <c r="B9" s="3"/>
      <c r="C9" s="3"/>
      <c r="D9" s="3"/>
      <c r="E9" s="3"/>
      <c r="F9" s="3"/>
      <c r="G9" s="3"/>
      <c r="H9" s="4" t="s">
        <v>17</v>
      </c>
      <c r="I9" s="12">
        <v>200000</v>
      </c>
      <c r="J9" s="12"/>
      <c r="K9" s="6" t="s">
        <v>12</v>
      </c>
    </row>
    <row r="10" spans="1:17" ht="15.75">
      <c r="A10" s="3" t="s">
        <v>18</v>
      </c>
      <c r="B10" s="3"/>
      <c r="C10" s="3"/>
      <c r="D10" s="3"/>
      <c r="E10" s="3"/>
      <c r="F10" s="3"/>
      <c r="G10" s="3"/>
      <c r="H10" s="4" t="s">
        <v>19</v>
      </c>
      <c r="I10" s="12">
        <v>400</v>
      </c>
      <c r="J10" s="12"/>
      <c r="K10" s="11" t="s">
        <v>4</v>
      </c>
    </row>
    <row r="11" spans="1:17" ht="15">
      <c r="A11" s="1" t="s">
        <v>20</v>
      </c>
    </row>
    <row r="12" spans="1:17">
      <c r="A12" s="13" t="s">
        <v>21</v>
      </c>
      <c r="B12" s="14" t="s">
        <v>22</v>
      </c>
      <c r="C12" s="15"/>
      <c r="D12" s="15"/>
      <c r="E12" s="16"/>
      <c r="F12" s="17" t="s">
        <v>23</v>
      </c>
      <c r="G12" s="17" t="s">
        <v>24</v>
      </c>
      <c r="H12" s="17" t="s">
        <v>25</v>
      </c>
      <c r="I12" s="17" t="s">
        <v>26</v>
      </c>
      <c r="J12" s="17" t="s">
        <v>27</v>
      </c>
      <c r="K12" s="17" t="s">
        <v>28</v>
      </c>
    </row>
    <row r="13" spans="1:17">
      <c r="A13" s="13"/>
      <c r="B13" s="18"/>
      <c r="C13" s="19"/>
      <c r="D13" s="19"/>
      <c r="E13" s="20"/>
      <c r="F13" s="17" t="s">
        <v>29</v>
      </c>
      <c r="G13" s="17" t="s">
        <v>29</v>
      </c>
      <c r="H13" s="17" t="s">
        <v>29</v>
      </c>
      <c r="I13" s="17" t="s">
        <v>30</v>
      </c>
      <c r="J13" s="17" t="s">
        <v>30</v>
      </c>
      <c r="K13" s="17" t="s">
        <v>30</v>
      </c>
      <c r="L13" s="21"/>
      <c r="M13" s="22" t="s">
        <v>31</v>
      </c>
      <c r="N13" s="22" t="s">
        <v>32</v>
      </c>
      <c r="O13" s="22" t="s">
        <v>33</v>
      </c>
    </row>
    <row r="14" spans="1:17" s="21" customFormat="1">
      <c r="A14" s="17">
        <v>1</v>
      </c>
      <c r="B14" s="13" t="s">
        <v>34</v>
      </c>
      <c r="C14" s="13"/>
      <c r="D14" s="13"/>
      <c r="E14" s="13"/>
      <c r="F14" s="23">
        <f>'[1]Số liệu đầu vào + nội lực'!F510</f>
        <v>2922.4936919440006</v>
      </c>
      <c r="G14" s="23">
        <f>'[1]Số liệu đầu vào + nội lực'!G510</f>
        <v>0</v>
      </c>
      <c r="H14" s="23">
        <f>'[1]Số liệu đầu vào + nội lực'!H510</f>
        <v>5499.610427792315</v>
      </c>
      <c r="I14" s="23">
        <f>'[1]Số liệu đầu vào + nội lực'!I510</f>
        <v>0</v>
      </c>
      <c r="J14" s="23">
        <f>'[1]Số liệu đầu vào + nội lực'!J510</f>
        <v>11576.54250944894</v>
      </c>
      <c r="K14" s="23">
        <f>'[1]Số liệu đầu vào + nội lực'!K510</f>
        <v>0</v>
      </c>
      <c r="M14" s="24">
        <f t="shared" ref="M14:M26" si="0">J14</f>
        <v>11576.54250944894</v>
      </c>
      <c r="N14" s="24">
        <f t="shared" ref="N14:N26" si="1">H14</f>
        <v>5499.610427792315</v>
      </c>
      <c r="O14" s="24">
        <f t="shared" ref="O14:O26" si="2">F14</f>
        <v>2922.4936919440006</v>
      </c>
      <c r="P14" s="22" t="s">
        <v>34</v>
      </c>
    </row>
    <row r="15" spans="1:17">
      <c r="A15" s="17">
        <f>A14+1</f>
        <v>2</v>
      </c>
      <c r="B15" s="13" t="s">
        <v>35</v>
      </c>
      <c r="C15" s="13"/>
      <c r="D15" s="13"/>
      <c r="E15" s="13"/>
      <c r="F15" s="23">
        <f>'[1]Số liệu đầu vào + nội lực'!F511</f>
        <v>2767.6399959440009</v>
      </c>
      <c r="G15" s="23">
        <f>'[1]Số liệu đầu vào + nội lực'!G511</f>
        <v>0</v>
      </c>
      <c r="H15" s="23">
        <f>'[1]Số liệu đầu vào + nội lực'!H511</f>
        <v>5106.7479385219285</v>
      </c>
      <c r="I15" s="23">
        <f>'[1]Số liệu đầu vào + nội lực'!I511</f>
        <v>0</v>
      </c>
      <c r="J15" s="23">
        <f>'[1]Số liệu đầu vào + nội lực'!J511</f>
        <v>10658.435421851344</v>
      </c>
      <c r="K15" s="23">
        <f>'[1]Số liệu đầu vào + nội lực'!K511</f>
        <v>0</v>
      </c>
      <c r="M15" s="24">
        <f t="shared" si="0"/>
        <v>10658.435421851344</v>
      </c>
      <c r="N15" s="24">
        <f t="shared" si="1"/>
        <v>5106.7479385219285</v>
      </c>
      <c r="O15" s="24">
        <f t="shared" si="2"/>
        <v>2767.6399959440009</v>
      </c>
      <c r="P15" s="22" t="s">
        <v>35</v>
      </c>
      <c r="Q15" s="25"/>
    </row>
    <row r="16" spans="1:17">
      <c r="A16" s="17">
        <f t="shared" ref="A16:A26" si="3">A15+1</f>
        <v>3</v>
      </c>
      <c r="B16" s="13" t="s">
        <v>36</v>
      </c>
      <c r="C16" s="13"/>
      <c r="D16" s="13"/>
      <c r="E16" s="13"/>
      <c r="F16" s="23">
        <f>'[1]Số liệu đầu vào + nội lực'!F512</f>
        <v>2245.0087719440007</v>
      </c>
      <c r="G16" s="23">
        <f>'[1]Số liệu đầu vào + nội lực'!G512</f>
        <v>131.24160000000001</v>
      </c>
      <c r="H16" s="23">
        <f>'[1]Số liệu đầu vào + nội lực'!H512</f>
        <v>3780.8370372343747</v>
      </c>
      <c r="I16" s="23">
        <f>'[1]Số liệu đầu vào + nội lực'!I512</f>
        <v>100.72792799999999</v>
      </c>
      <c r="J16" s="23">
        <f>'[1]Số liệu đầu vào + nội lực'!J512</f>
        <v>7559.8240012094548</v>
      </c>
      <c r="K16" s="23">
        <f>'[1]Số liệu đầu vào + nội lực'!K512</f>
        <v>0</v>
      </c>
      <c r="M16" s="24">
        <f t="shared" si="0"/>
        <v>7559.8240012094548</v>
      </c>
      <c r="N16" s="24">
        <f t="shared" si="1"/>
        <v>3780.8370372343747</v>
      </c>
      <c r="O16" s="24">
        <f t="shared" si="2"/>
        <v>2245.0087719440007</v>
      </c>
      <c r="P16" s="22" t="s">
        <v>36</v>
      </c>
      <c r="Q16" s="25"/>
    </row>
    <row r="17" spans="1:16">
      <c r="A17" s="17">
        <f t="shared" si="3"/>
        <v>4</v>
      </c>
      <c r="B17" s="13" t="s">
        <v>37</v>
      </c>
      <c r="C17" s="13"/>
      <c r="D17" s="13"/>
      <c r="E17" s="13"/>
      <c r="F17" s="23">
        <f>'[1]Số liệu đầu vào + nội lực'!F513</f>
        <v>2245.0087719440007</v>
      </c>
      <c r="G17" s="23">
        <f>'[1]Số liệu đầu vào + nội lực'!G513</f>
        <v>0</v>
      </c>
      <c r="H17" s="23">
        <f>'[1]Số liệu đầu vào + nội lực'!H513</f>
        <v>4540.8882872343747</v>
      </c>
      <c r="I17" s="23">
        <f>'[1]Số liệu đầu vào + nội lực'!I513</f>
        <v>0</v>
      </c>
      <c r="J17" s="23">
        <f>'[1]Số liệu đầu vào + nội lực'!J513</f>
        <v>7615.8447824594541</v>
      </c>
      <c r="K17" s="23">
        <f>'[1]Số liệu đầu vào + nội lực'!K513</f>
        <v>0</v>
      </c>
      <c r="M17" s="24">
        <f t="shared" si="0"/>
        <v>7615.8447824594541</v>
      </c>
      <c r="N17" s="24">
        <f t="shared" si="1"/>
        <v>4540.8882872343747</v>
      </c>
      <c r="O17" s="24">
        <f t="shared" si="2"/>
        <v>2245.0087719440007</v>
      </c>
      <c r="P17" s="22" t="s">
        <v>37</v>
      </c>
    </row>
    <row r="18" spans="1:16">
      <c r="A18" s="17">
        <f t="shared" si="3"/>
        <v>5</v>
      </c>
      <c r="B18" s="13" t="s">
        <v>38</v>
      </c>
      <c r="C18" s="13"/>
      <c r="D18" s="13"/>
      <c r="E18" s="13"/>
      <c r="F18" s="23">
        <f>'[1]Số liệu đầu vào + nội lực'!F514</f>
        <v>2767.6399959440009</v>
      </c>
      <c r="G18" s="23">
        <f>'[1]Số liệu đầu vào + nội lực'!G514</f>
        <v>55.017600000000002</v>
      </c>
      <c r="H18" s="23">
        <f>'[1]Số liệu đầu vào + nội lực'!H514</f>
        <v>5106.7479385219285</v>
      </c>
      <c r="I18" s="23">
        <f>'[1]Số liệu đầu vào + nội lực'!I514</f>
        <v>78.448608000000007</v>
      </c>
      <c r="J18" s="23">
        <f>'[1]Số liệu đầu vào + nội lực'!J514</f>
        <v>10658.435421851344</v>
      </c>
      <c r="K18" s="23">
        <f>'[1]Số liệu đầu vào + nội lực'!K514</f>
        <v>0</v>
      </c>
      <c r="M18" s="24">
        <f t="shared" si="0"/>
        <v>10658.435421851344</v>
      </c>
      <c r="N18" s="24">
        <f t="shared" si="1"/>
        <v>5106.7479385219285</v>
      </c>
      <c r="O18" s="24">
        <f t="shared" si="2"/>
        <v>2767.6399959440009</v>
      </c>
      <c r="P18" s="22" t="s">
        <v>38</v>
      </c>
    </row>
    <row r="19" spans="1:16" s="21" customFormat="1">
      <c r="A19" s="17">
        <f t="shared" si="3"/>
        <v>6</v>
      </c>
      <c r="B19" s="13" t="s">
        <v>39</v>
      </c>
      <c r="C19" s="13"/>
      <c r="D19" s="13"/>
      <c r="E19" s="13"/>
      <c r="F19" s="23">
        <f>'[1]Số liệu đầu vào + nội lực'!F515</f>
        <v>3087.4352278215433</v>
      </c>
      <c r="G19" s="23">
        <f>'[1]Số liệu đầu vào + nội lực'!G515</f>
        <v>0</v>
      </c>
      <c r="H19" s="23">
        <f>'[1]Số liệu đầu vào + nội lực'!H515</f>
        <v>3440.301689744233</v>
      </c>
      <c r="I19" s="23">
        <f>'[1]Số liệu đầu vào + nội lực'!I515</f>
        <v>0</v>
      </c>
      <c r="J19" s="23">
        <f>'[1]Số liệu đầu vào + nội lực'!J515</f>
        <v>12577.524190797396</v>
      </c>
      <c r="K19" s="23">
        <f>'[1]Số liệu đầu vào + nội lực'!K515</f>
        <v>0</v>
      </c>
      <c r="M19" s="24">
        <f t="shared" si="0"/>
        <v>12577.524190797396</v>
      </c>
      <c r="N19" s="24">
        <f t="shared" si="1"/>
        <v>3440.301689744233</v>
      </c>
      <c r="O19" s="24">
        <f t="shared" si="2"/>
        <v>3087.4352278215433</v>
      </c>
      <c r="P19" s="22" t="s">
        <v>39</v>
      </c>
    </row>
    <row r="20" spans="1:16">
      <c r="A20" s="17">
        <f t="shared" si="3"/>
        <v>7</v>
      </c>
      <c r="B20" s="13" t="s">
        <v>40</v>
      </c>
      <c r="C20" s="13"/>
      <c r="D20" s="13"/>
      <c r="E20" s="13"/>
      <c r="F20" s="23">
        <f>'[1]Số liệu đầu vào + nội lực'!F516</f>
        <v>2353.714002532236</v>
      </c>
      <c r="G20" s="23">
        <f>'[1]Số liệu đầu vào + nội lực'!G516</f>
        <v>0</v>
      </c>
      <c r="H20" s="23">
        <f>'[1]Số liệu đầu vào + nội lực'!H516</f>
        <v>4271.9151488223579</v>
      </c>
      <c r="I20" s="23">
        <f>'[1]Số liệu đầu vào + nội lực'!I516</f>
        <v>0</v>
      </c>
      <c r="J20" s="23">
        <f>'[1]Số liệu đầu vào + nội lực'!J516</f>
        <v>8112.5760159299807</v>
      </c>
      <c r="K20" s="23">
        <f>'[1]Số liệu đầu vào + nội lực'!K516</f>
        <v>0</v>
      </c>
      <c r="M20" s="24">
        <f t="shared" si="0"/>
        <v>8112.5760159299807</v>
      </c>
      <c r="N20" s="24">
        <f t="shared" si="1"/>
        <v>4271.9151488223579</v>
      </c>
      <c r="O20" s="24">
        <f t="shared" si="2"/>
        <v>2353.714002532236</v>
      </c>
      <c r="P20" s="22" t="s">
        <v>40</v>
      </c>
    </row>
    <row r="21" spans="1:16">
      <c r="A21" s="17">
        <f t="shared" si="3"/>
        <v>8</v>
      </c>
      <c r="B21" s="13" t="s">
        <v>41</v>
      </c>
      <c r="C21" s="13"/>
      <c r="D21" s="13"/>
      <c r="E21" s="13"/>
      <c r="F21" s="23">
        <f>'[1]Số liệu đầu vào + nội lực'!F517</f>
        <v>1982.6420688353885</v>
      </c>
      <c r="G21" s="23">
        <f>'[1]Số liệu đầu vào + nội lực'!G517</f>
        <v>45.6432</v>
      </c>
      <c r="H21" s="23">
        <f>'[1]Số liệu đầu vào + nội lực'!H517</f>
        <v>3931.3798013322157</v>
      </c>
      <c r="I21" s="23">
        <f>'[1]Số liệu đầu vào + nội lực'!I517</f>
        <v>71.253755999999996</v>
      </c>
      <c r="J21" s="23">
        <f>'[1]Số liệu đầu vào + nội lực'!J517</f>
        <v>8052.4726157407176</v>
      </c>
      <c r="K21" s="23">
        <f>'[1]Số liệu đầu vào + nội lực'!K517</f>
        <v>0</v>
      </c>
      <c r="M21" s="24">
        <f t="shared" si="0"/>
        <v>8052.4726157407176</v>
      </c>
      <c r="N21" s="24">
        <f t="shared" si="1"/>
        <v>3931.3798013322157</v>
      </c>
      <c r="O21" s="24">
        <f t="shared" si="2"/>
        <v>1982.6420688353885</v>
      </c>
      <c r="P21" s="22" t="s">
        <v>41</v>
      </c>
    </row>
    <row r="22" spans="1:16">
      <c r="A22" s="17">
        <f t="shared" si="3"/>
        <v>9</v>
      </c>
      <c r="B22" s="13" t="s">
        <v>42</v>
      </c>
      <c r="C22" s="13"/>
      <c r="D22" s="13"/>
      <c r="E22" s="13"/>
      <c r="F22" s="23">
        <f>'[1]Số liệu đầu vào + nội lực'!F518</f>
        <v>2098.7823408353888</v>
      </c>
      <c r="G22" s="23">
        <f>'[1]Số liệu đầu vào + nội lực'!G518</f>
        <v>0</v>
      </c>
      <c r="H22" s="23">
        <f>'[1]Số liệu đầu vào + nội lực'!H518</f>
        <v>4226.0266682850051</v>
      </c>
      <c r="I22" s="23">
        <f>'[1]Số liệu đầu vào + nội lực'!I518</f>
        <v>0</v>
      </c>
      <c r="J22" s="23">
        <f>'[1]Số liệu đầu vào + nội lực'!J518</f>
        <v>8741.0529314389169</v>
      </c>
      <c r="K22" s="23">
        <f>'[1]Số liệu đầu vào + nội lực'!K518</f>
        <v>0</v>
      </c>
      <c r="M22" s="24">
        <f t="shared" si="0"/>
        <v>8741.0529314389169</v>
      </c>
      <c r="N22" s="24">
        <f t="shared" si="1"/>
        <v>4226.0266682850051</v>
      </c>
      <c r="O22" s="24">
        <f t="shared" si="2"/>
        <v>2098.7823408353888</v>
      </c>
      <c r="P22" s="22" t="s">
        <v>42</v>
      </c>
    </row>
    <row r="23" spans="1:16">
      <c r="A23" s="17">
        <f t="shared" si="3"/>
        <v>10</v>
      </c>
      <c r="B23" s="13" t="s">
        <v>43</v>
      </c>
      <c r="C23" s="13"/>
      <c r="D23" s="13"/>
      <c r="E23" s="13"/>
      <c r="F23" s="23">
        <f>'[1]Số liệu đầu vào + nội lực'!F519</f>
        <v>1905.2152208353884</v>
      </c>
      <c r="G23" s="23">
        <f>'[1]Số liệu đầu vào + nội lực'!G519</f>
        <v>0</v>
      </c>
      <c r="H23" s="23">
        <f>'[1]Số liệu đầu vào + nội lực'!H519</f>
        <v>3734.9485566970225</v>
      </c>
      <c r="I23" s="23">
        <f>'[1]Số liệu đầu vào + nội lực'!I519</f>
        <v>0</v>
      </c>
      <c r="J23" s="23">
        <f>'[1]Số liệu đầu vào + nội lực'!J519</f>
        <v>7593.4190719419194</v>
      </c>
      <c r="K23" s="23">
        <f>'[1]Số liệu đầu vào + nội lực'!K519</f>
        <v>0</v>
      </c>
      <c r="M23" s="24">
        <f t="shared" si="0"/>
        <v>7593.4190719419194</v>
      </c>
      <c r="N23" s="24">
        <f t="shared" si="1"/>
        <v>3734.9485566970225</v>
      </c>
      <c r="O23" s="24">
        <f t="shared" si="2"/>
        <v>1905.2152208353884</v>
      </c>
      <c r="P23" s="22" t="s">
        <v>43</v>
      </c>
    </row>
    <row r="24" spans="1:16">
      <c r="A24" s="17">
        <f t="shared" si="3"/>
        <v>11</v>
      </c>
      <c r="B24" s="13" t="s">
        <v>44</v>
      </c>
      <c r="C24" s="13"/>
      <c r="D24" s="13"/>
      <c r="E24" s="13"/>
      <c r="F24" s="23">
        <f>'[1]Số liệu đầu vào + nội lực'!F520</f>
        <v>1595.5078288353884</v>
      </c>
      <c r="G24" s="23">
        <f>'[1]Số liệu đầu vào + nội lực'!G520</f>
        <v>65.620800000000003</v>
      </c>
      <c r="H24" s="23">
        <f>'[1]Số liệu đầu vào + nội lực'!H520</f>
        <v>2949.2235781562499</v>
      </c>
      <c r="I24" s="23">
        <f>'[1]Số liệu đầu vào + nội lực'!I520</f>
        <v>50.363963999999996</v>
      </c>
      <c r="J24" s="23">
        <f>'[1]Số liệu đầu vào + nội lực'!J520</f>
        <v>5757.2048967467263</v>
      </c>
      <c r="K24" s="23">
        <f>'[1]Số liệu đầu vào + nội lực'!K520</f>
        <v>0</v>
      </c>
      <c r="M24" s="24">
        <f t="shared" si="0"/>
        <v>5757.2048967467263</v>
      </c>
      <c r="N24" s="24">
        <f t="shared" si="1"/>
        <v>2949.2235781562499</v>
      </c>
      <c r="O24" s="24">
        <f t="shared" si="2"/>
        <v>1595.5078288353884</v>
      </c>
      <c r="P24" s="22" t="s">
        <v>44</v>
      </c>
    </row>
    <row r="25" spans="1:16">
      <c r="A25" s="17">
        <f t="shared" si="3"/>
        <v>12</v>
      </c>
      <c r="B25" s="13" t="s">
        <v>45</v>
      </c>
      <c r="C25" s="13"/>
      <c r="D25" s="13"/>
      <c r="E25" s="13"/>
      <c r="F25" s="23">
        <f>'[1]Số liệu đầu vào + nội lực'!F521</f>
        <v>580.70136000000002</v>
      </c>
      <c r="G25" s="23">
        <f>'[1]Số liệu đầu vào + nội lực'!G521</f>
        <v>0</v>
      </c>
      <c r="H25" s="23">
        <f>'[1]Số liệu đầu vào + nội lực'!H521</f>
        <v>1473.2343347639487</v>
      </c>
      <c r="I25" s="23">
        <f>'[1]Số liệu đầu vào + nội lực'!I521</f>
        <v>0</v>
      </c>
      <c r="J25" s="23">
        <f>'[1]Số liệu đầu vào + nội lực'!J521</f>
        <v>3442.9015784909875</v>
      </c>
      <c r="K25" s="23">
        <f>'[1]Số liệu đầu vào + nội lực'!K521</f>
        <v>0</v>
      </c>
      <c r="M25" s="24">
        <f t="shared" si="0"/>
        <v>3442.9015784909875</v>
      </c>
      <c r="N25" s="24">
        <f t="shared" si="1"/>
        <v>1473.2343347639487</v>
      </c>
      <c r="O25" s="24">
        <f t="shared" si="2"/>
        <v>580.70136000000002</v>
      </c>
      <c r="P25" s="22" t="s">
        <v>45</v>
      </c>
    </row>
    <row r="26" spans="1:16">
      <c r="A26" s="17">
        <f t="shared" si="3"/>
        <v>13</v>
      </c>
      <c r="B26" s="13" t="s">
        <v>46</v>
      </c>
      <c r="C26" s="13"/>
      <c r="D26" s="13"/>
      <c r="E26" s="13"/>
      <c r="F26" s="23">
        <f>'[1]Số liệu đầu vào + nội lực'!F522</f>
        <v>290.35068000000001</v>
      </c>
      <c r="G26" s="23">
        <f>'[1]Số liệu đầu vào + nội lực'!G522</f>
        <v>0</v>
      </c>
      <c r="H26" s="23">
        <f>'[1]Số liệu đầu vào + nội lực'!H522</f>
        <v>736.61716738197435</v>
      </c>
      <c r="I26" s="23">
        <f>'[1]Số liệu đầu vào + nội lực'!I522</f>
        <v>0</v>
      </c>
      <c r="J26" s="23">
        <f>'[1]Số liệu đầu vào + nội lực'!J522</f>
        <v>1721.4507892454938</v>
      </c>
      <c r="K26" s="23">
        <f>'[1]Số liệu đầu vào + nội lực'!K522</f>
        <v>0</v>
      </c>
      <c r="M26" s="24">
        <f t="shared" si="0"/>
        <v>1721.4507892454938</v>
      </c>
      <c r="N26" s="24">
        <f t="shared" si="1"/>
        <v>736.61716738197435</v>
      </c>
      <c r="O26" s="24">
        <f t="shared" si="2"/>
        <v>290.35068000000001</v>
      </c>
      <c r="P26" s="22" t="s">
        <v>46</v>
      </c>
    </row>
    <row r="27" spans="1:16" ht="15">
      <c r="A27" s="1" t="s">
        <v>47</v>
      </c>
      <c r="M27" s="25">
        <f>MAX(M14:M26)</f>
        <v>12577.524190797396</v>
      </c>
      <c r="N27" s="25">
        <f>MAX(N14:N26)</f>
        <v>5499.610427792315</v>
      </c>
      <c r="O27" s="25">
        <f t="shared" ref="O27" si="4">MAX(O14:O26)</f>
        <v>3087.4352278215433</v>
      </c>
    </row>
    <row r="28" spans="1:16" ht="14.25">
      <c r="A28" s="26" t="s">
        <v>48</v>
      </c>
      <c r="D28" s="27" t="s">
        <v>49</v>
      </c>
      <c r="E28" s="27">
        <f>[0]!a*1000</f>
        <v>1300</v>
      </c>
      <c r="F28" s="27" t="s">
        <v>50</v>
      </c>
      <c r="M28" s="25"/>
    </row>
    <row r="29" spans="1:16">
      <c r="A29" s="2" t="s">
        <v>51</v>
      </c>
      <c r="D29" s="28" t="s">
        <v>52</v>
      </c>
      <c r="E29" s="28">
        <f>[0]!L*1000</f>
        <v>10000</v>
      </c>
      <c r="F29" s="27" t="s">
        <v>50</v>
      </c>
      <c r="M29" s="25"/>
    </row>
    <row r="30" spans="1:16" ht="15.75">
      <c r="A30" s="2" t="s">
        <v>53</v>
      </c>
      <c r="D30" s="27" t="s">
        <v>54</v>
      </c>
      <c r="E30" s="29">
        <v>75</v>
      </c>
      <c r="F30" s="27" t="s">
        <v>55</v>
      </c>
    </row>
    <row r="31" spans="1:16" ht="15.75">
      <c r="A31" s="2" t="s">
        <v>56</v>
      </c>
      <c r="D31" s="27" t="s">
        <v>57</v>
      </c>
      <c r="E31" s="29">
        <v>75</v>
      </c>
      <c r="F31" s="27" t="s">
        <v>55</v>
      </c>
      <c r="M31" s="25"/>
    </row>
    <row r="32" spans="1:16" ht="15.75">
      <c r="A32" s="2" t="s">
        <v>58</v>
      </c>
      <c r="D32" s="27" t="s">
        <v>59</v>
      </c>
      <c r="E32" s="29">
        <v>66</v>
      </c>
      <c r="F32" s="27" t="s">
        <v>60</v>
      </c>
      <c r="M32" s="25"/>
    </row>
    <row r="33" spans="1:14" ht="15.75">
      <c r="A33" s="2" t="s">
        <v>61</v>
      </c>
      <c r="D33" s="27" t="s">
        <v>62</v>
      </c>
      <c r="E33" s="29">
        <v>66</v>
      </c>
      <c r="F33" s="27" t="s">
        <v>60</v>
      </c>
      <c r="M33" s="25"/>
    </row>
    <row r="34" spans="1:14" ht="15.75">
      <c r="A34" s="2" t="s">
        <v>63</v>
      </c>
      <c r="D34" s="27" t="s">
        <v>64</v>
      </c>
      <c r="E34" s="29">
        <v>16</v>
      </c>
      <c r="F34" s="27" t="s">
        <v>55</v>
      </c>
      <c r="M34" s="25"/>
    </row>
    <row r="35" spans="1:14" ht="15.75">
      <c r="A35" s="2" t="s">
        <v>65</v>
      </c>
      <c r="D35" s="27" t="s">
        <v>66</v>
      </c>
      <c r="E35" s="29">
        <v>22</v>
      </c>
      <c r="F35" s="27" t="s">
        <v>55</v>
      </c>
      <c r="M35" s="25"/>
    </row>
    <row r="36" spans="1:14" ht="15.75">
      <c r="A36" s="2" t="s">
        <v>67</v>
      </c>
      <c r="D36" s="27" t="s">
        <v>68</v>
      </c>
      <c r="E36" s="27">
        <f>E32*PI()*E34^2/4</f>
        <v>13270.087368763287</v>
      </c>
      <c r="F36" s="27" t="s">
        <v>69</v>
      </c>
      <c r="M36" s="25"/>
    </row>
    <row r="37" spans="1:14" ht="15.75">
      <c r="A37" s="2" t="s">
        <v>70</v>
      </c>
      <c r="D37" s="27" t="s">
        <v>71</v>
      </c>
      <c r="E37" s="27">
        <f>E33*PI()*E35^2/4</f>
        <v>25088.758931568089</v>
      </c>
      <c r="F37" s="27" t="s">
        <v>69</v>
      </c>
      <c r="M37" s="25"/>
    </row>
    <row r="38" spans="1:14" ht="15">
      <c r="A38" s="1" t="s">
        <v>72</v>
      </c>
      <c r="L38" s="2" t="s">
        <v>73</v>
      </c>
      <c r="M38" s="25"/>
    </row>
    <row r="39" spans="1:14" ht="14.25">
      <c r="A39" s="26" t="s">
        <v>74</v>
      </c>
      <c r="M39" s="25"/>
    </row>
    <row r="40" spans="1:14">
      <c r="A40" s="2" t="s">
        <v>75</v>
      </c>
      <c r="M40" s="25"/>
    </row>
    <row r="41" spans="1:14">
      <c r="C41" s="30" t="s">
        <v>76</v>
      </c>
      <c r="D41" s="30"/>
      <c r="F41" s="2" t="s">
        <v>77</v>
      </c>
    </row>
    <row r="43" spans="1:14">
      <c r="A43" s="27" t="s">
        <v>78</v>
      </c>
      <c r="B43" s="31">
        <f>_xlfn.IFS(C41="Cốt đai thường",0.8,C41="Cốt đai xoắn",0.85)*(I47*fc*(I45-I46)+fy*I46)/1000</f>
        <v>276692.31035157933</v>
      </c>
      <c r="C43" s="31"/>
      <c r="D43" s="28" t="s">
        <v>29</v>
      </c>
      <c r="F43" s="2" t="s">
        <v>79</v>
      </c>
    </row>
    <row r="44" spans="1:14">
      <c r="A44" s="27" t="s">
        <v>80</v>
      </c>
      <c r="B44" s="31">
        <f>B43*I48</f>
        <v>207519.2327636845</v>
      </c>
      <c r="C44" s="31"/>
      <c r="D44" s="28" t="s">
        <v>29</v>
      </c>
    </row>
    <row r="45" spans="1:14" ht="15.75">
      <c r="A45" s="27" t="s">
        <v>81</v>
      </c>
      <c r="B45" s="2" t="s">
        <v>82</v>
      </c>
      <c r="I45" s="8">
        <f>E29*E28</f>
        <v>13000000</v>
      </c>
      <c r="J45" s="8"/>
      <c r="K45" s="28" t="s">
        <v>69</v>
      </c>
      <c r="L45" s="32"/>
    </row>
    <row r="46" spans="1:14" ht="15.75">
      <c r="A46" s="27" t="s">
        <v>68</v>
      </c>
      <c r="B46" s="2" t="s">
        <v>83</v>
      </c>
      <c r="I46" s="8">
        <f>E36+E37</f>
        <v>38358.846300331374</v>
      </c>
      <c r="J46" s="8"/>
      <c r="K46" s="28" t="s">
        <v>69</v>
      </c>
    </row>
    <row r="47" spans="1:14" ht="15.75">
      <c r="A47" s="27" t="s">
        <v>84</v>
      </c>
      <c r="B47" s="2" t="s">
        <v>85</v>
      </c>
      <c r="I47" s="10">
        <f>_xlfn.IFS(fc&lt;=70,0.85,fc&gt;70,MAX(0.85-(fc-70)*0.02/7,0.75))</f>
        <v>0.85</v>
      </c>
      <c r="J47" s="10"/>
      <c r="M47" s="8"/>
      <c r="N47" s="8"/>
    </row>
    <row r="48" spans="1:14">
      <c r="A48" s="27" t="s">
        <v>86</v>
      </c>
      <c r="B48" s="2" t="s">
        <v>87</v>
      </c>
      <c r="I48" s="10">
        <v>0.75</v>
      </c>
      <c r="J48" s="10"/>
    </row>
    <row r="49" spans="1:12">
      <c r="A49" s="2" t="s">
        <v>88</v>
      </c>
      <c r="I49" s="33"/>
      <c r="J49" s="33"/>
    </row>
    <row r="50" spans="1:12">
      <c r="A50" s="27"/>
      <c r="C50" s="30" t="s">
        <v>89</v>
      </c>
      <c r="D50" s="30"/>
      <c r="H50" s="2" t="s">
        <v>90</v>
      </c>
      <c r="I50" s="33"/>
      <c r="J50" s="33"/>
    </row>
    <row r="51" spans="1:12">
      <c r="A51" s="27" t="s">
        <v>86</v>
      </c>
      <c r="B51" s="2" t="s">
        <v>91</v>
      </c>
      <c r="F51" s="27">
        <v>0.9</v>
      </c>
      <c r="I51" s="33"/>
      <c r="J51" s="33"/>
    </row>
    <row r="52" spans="1:12">
      <c r="A52" s="27" t="s">
        <v>92</v>
      </c>
      <c r="B52" s="2" t="s">
        <v>93</v>
      </c>
      <c r="F52" s="27">
        <f>E37</f>
        <v>25088.758931568089</v>
      </c>
      <c r="G52" s="27" t="s">
        <v>69</v>
      </c>
      <c r="I52" s="33"/>
      <c r="J52" s="33"/>
    </row>
    <row r="53" spans="1:12">
      <c r="A53" s="27" t="s">
        <v>94</v>
      </c>
      <c r="B53" s="2" t="s">
        <v>93</v>
      </c>
      <c r="F53" s="27">
        <f>E36</f>
        <v>13270.087368763287</v>
      </c>
      <c r="G53" s="27" t="s">
        <v>69</v>
      </c>
      <c r="I53" s="33"/>
      <c r="J53" s="33"/>
    </row>
    <row r="54" spans="1:12">
      <c r="A54" s="28" t="s">
        <v>95</v>
      </c>
      <c r="B54" s="2" t="s">
        <v>96</v>
      </c>
      <c r="F54" s="27">
        <f>E28-E31</f>
        <v>1225</v>
      </c>
      <c r="G54" s="27" t="s">
        <v>55</v>
      </c>
      <c r="H54" s="2" t="s">
        <v>97</v>
      </c>
      <c r="I54" s="33"/>
      <c r="J54" s="33"/>
    </row>
    <row r="55" spans="1:12">
      <c r="A55" s="28" t="s">
        <v>98</v>
      </c>
      <c r="B55" s="2" t="s">
        <v>99</v>
      </c>
      <c r="F55" s="27">
        <f>E30</f>
        <v>75</v>
      </c>
      <c r="G55" s="27" t="s">
        <v>55</v>
      </c>
      <c r="I55" s="33"/>
      <c r="J55" s="33"/>
    </row>
    <row r="56" spans="1:12">
      <c r="A56" s="28" t="s">
        <v>100</v>
      </c>
      <c r="B56" s="2" t="s">
        <v>101</v>
      </c>
      <c r="F56" s="27">
        <f>MAX(0.75,IF('Kiểm toán tường thân'!fc&lt;=70,0.85,0.85-0.02*('Kiểm toán tường thân'!fc-70)/7))</f>
        <v>0.85</v>
      </c>
      <c r="I56" s="33"/>
      <c r="J56" s="33"/>
    </row>
    <row r="57" spans="1:12">
      <c r="A57" s="34" t="s">
        <v>102</v>
      </c>
      <c r="B57" s="2" t="s">
        <v>103</v>
      </c>
      <c r="F57" s="27">
        <f>MAX(0.65,IF(fc&lt;=28,0.85,0.85-(('Kiểm toán tường thân'!fc-28)/7)*0.05))</f>
        <v>0.83571428571428574</v>
      </c>
      <c r="I57" s="33"/>
      <c r="J57" s="33"/>
    </row>
    <row r="58" spans="1:12" ht="12.75" customHeight="1">
      <c r="A58" s="28" t="s">
        <v>104</v>
      </c>
      <c r="B58" s="2" t="s">
        <v>105</v>
      </c>
      <c r="F58" s="27">
        <f>(F52-F53)*fy/(F56*F57*fc*E29)</f>
        <v>22.183529663719423</v>
      </c>
      <c r="G58" s="27" t="s">
        <v>55</v>
      </c>
      <c r="H58" s="35" t="s">
        <v>106</v>
      </c>
      <c r="I58" s="35"/>
      <c r="J58" s="36"/>
    </row>
    <row r="59" spans="1:12">
      <c r="A59" s="28" t="s">
        <v>107</v>
      </c>
      <c r="B59" s="2" t="s">
        <v>108</v>
      </c>
      <c r="F59" s="27">
        <f>F58*F57</f>
        <v>18.539092647536947</v>
      </c>
      <c r="G59" s="27" t="s">
        <v>55</v>
      </c>
      <c r="H59" s="35"/>
      <c r="I59" s="35"/>
      <c r="J59" s="36"/>
    </row>
    <row r="60" spans="1:12">
      <c r="A60" s="28" t="s">
        <v>109</v>
      </c>
      <c r="B60" s="2" t="s">
        <v>110</v>
      </c>
      <c r="E60" s="27"/>
      <c r="F60" s="27">
        <f>(F52*fy*(F54-F59/2)-L60*F53*fy*(F55-F59/2))*10^-6</f>
        <v>12200.467311219551</v>
      </c>
      <c r="G60" s="27" t="s">
        <v>30</v>
      </c>
      <c r="H60" s="35"/>
      <c r="I60" s="35"/>
      <c r="J60" s="36"/>
      <c r="L60" s="37">
        <v>0</v>
      </c>
    </row>
    <row r="61" spans="1:12">
      <c r="A61" s="28" t="s">
        <v>111</v>
      </c>
      <c r="B61" s="2" t="s">
        <v>112</v>
      </c>
      <c r="E61" s="27"/>
      <c r="F61" s="27">
        <f>F60*F51</f>
        <v>10980.420580097596</v>
      </c>
      <c r="G61" s="27" t="s">
        <v>30</v>
      </c>
      <c r="H61" s="35"/>
      <c r="I61" s="35"/>
      <c r="J61" s="36"/>
    </row>
    <row r="62" spans="1:12">
      <c r="A62" s="2" t="s">
        <v>113</v>
      </c>
      <c r="I62" s="33"/>
      <c r="J62" s="33"/>
    </row>
    <row r="63" spans="1:12">
      <c r="A63" s="27" t="s">
        <v>114</v>
      </c>
      <c r="B63" s="2" t="s">
        <v>115</v>
      </c>
      <c r="F63" s="27">
        <f>IF(F64&gt;0.0021,400,F64*I9)</f>
        <v>400</v>
      </c>
      <c r="G63" s="27" t="s">
        <v>4</v>
      </c>
      <c r="H63" s="27" t="s">
        <v>78</v>
      </c>
      <c r="I63" s="31">
        <f>_xlfn.IFS(C41="Cốt đai thường",0.8,C41="Cốt đai xoắn",0.85)*(I47*fc*(F67*E29-F53)+F63*F53)/1000</f>
        <v>200034.2896042529</v>
      </c>
      <c r="J63" s="31"/>
      <c r="K63" s="28" t="s">
        <v>29</v>
      </c>
    </row>
    <row r="64" spans="1:12" ht="15.75">
      <c r="A64" s="27" t="s">
        <v>116</v>
      </c>
      <c r="B64" s="2" t="s">
        <v>117</v>
      </c>
      <c r="F64" s="27">
        <f>(0.003*F66)/F65</f>
        <v>2.8163265306122452E-3</v>
      </c>
      <c r="H64" s="27" t="s">
        <v>80</v>
      </c>
      <c r="I64" s="31">
        <f>I63*K67</f>
        <v>150025.71720318968</v>
      </c>
      <c r="J64" s="31"/>
      <c r="K64" s="28" t="s">
        <v>29</v>
      </c>
    </row>
    <row r="65" spans="1:12">
      <c r="A65" s="27" t="s">
        <v>118</v>
      </c>
      <c r="B65" s="2" t="s">
        <v>119</v>
      </c>
      <c r="F65" s="27">
        <f>E28-E30</f>
        <v>1225</v>
      </c>
      <c r="G65" s="27" t="s">
        <v>55</v>
      </c>
      <c r="H65" s="28" t="s">
        <v>109</v>
      </c>
      <c r="I65" s="31">
        <f>(F63*F53*(F65/2-E30)+I47*fc*(F67*E29)*(E28/2-F67/2))/10^6</f>
        <v>44384.225990916755</v>
      </c>
      <c r="J65" s="31"/>
      <c r="K65" s="27" t="s">
        <v>30</v>
      </c>
    </row>
    <row r="66" spans="1:12">
      <c r="A66" s="28" t="s">
        <v>104</v>
      </c>
      <c r="B66" s="2" t="s">
        <v>105</v>
      </c>
      <c r="F66" s="27">
        <f>F54-E31</f>
        <v>1150</v>
      </c>
      <c r="G66" s="27" t="s">
        <v>55</v>
      </c>
      <c r="H66" s="28" t="s">
        <v>111</v>
      </c>
      <c r="I66" s="31">
        <f>K67*I65</f>
        <v>33288.169493187568</v>
      </c>
      <c r="J66" s="31"/>
      <c r="K66" s="27" t="s">
        <v>30</v>
      </c>
    </row>
    <row r="67" spans="1:12">
      <c r="A67" s="28" t="s">
        <v>107</v>
      </c>
      <c r="B67" s="2" t="s">
        <v>108</v>
      </c>
      <c r="F67" s="27">
        <f>F66*F57</f>
        <v>961.07142857142856</v>
      </c>
      <c r="G67" s="27" t="s">
        <v>55</v>
      </c>
      <c r="H67" s="27" t="s">
        <v>86</v>
      </c>
      <c r="I67" s="2" t="s">
        <v>120</v>
      </c>
      <c r="J67" s="33"/>
      <c r="K67" s="38">
        <f>I48</f>
        <v>0.75</v>
      </c>
      <c r="L67" s="38"/>
    </row>
    <row r="68" spans="1:12">
      <c r="A68" s="2" t="s">
        <v>121</v>
      </c>
      <c r="G68" s="27" t="s">
        <v>122</v>
      </c>
      <c r="I68" s="33"/>
      <c r="J68" s="33"/>
    </row>
    <row r="69" spans="1:12">
      <c r="A69" s="27" t="s">
        <v>114</v>
      </c>
      <c r="B69" s="2" t="s">
        <v>115</v>
      </c>
      <c r="F69" s="27">
        <f>IF(F70&gt;0.0021,400,F70*I9)</f>
        <v>400</v>
      </c>
      <c r="G69" s="27" t="s">
        <v>4</v>
      </c>
      <c r="H69" s="27" t="s">
        <v>78</v>
      </c>
      <c r="I69" s="31">
        <f>_xlfn.IFS(C41="Cốt đai thường",0.8,C41="Cốt đai xoắn",0.85)*(I47*fc*(F73*E29-F53)+F69*F53-F52*fy)/1000</f>
        <v>118797.31531757971</v>
      </c>
      <c r="J69" s="31"/>
      <c r="K69" s="28" t="s">
        <v>29</v>
      </c>
      <c r="L69" s="27"/>
    </row>
    <row r="70" spans="1:12" ht="15.75">
      <c r="A70" s="27" t="s">
        <v>116</v>
      </c>
      <c r="B70" s="2" t="s">
        <v>117</v>
      </c>
      <c r="F70" s="27">
        <f>((F72-F55)/F72)*0.003</f>
        <v>2.6877551020408163E-3</v>
      </c>
      <c r="H70" s="27" t="s">
        <v>80</v>
      </c>
      <c r="I70" s="31">
        <f>I69*K73</f>
        <v>89097.986488184775</v>
      </c>
      <c r="J70" s="31"/>
      <c r="K70" s="28" t="s">
        <v>29</v>
      </c>
    </row>
    <row r="71" spans="1:12">
      <c r="A71" s="27" t="s">
        <v>118</v>
      </c>
      <c r="B71" s="2" t="s">
        <v>119</v>
      </c>
      <c r="F71" s="27">
        <f>F65</f>
        <v>1225</v>
      </c>
      <c r="G71" s="27" t="s">
        <v>55</v>
      </c>
      <c r="H71" s="28" t="s">
        <v>109</v>
      </c>
      <c r="I71" s="31">
        <f>(F69*F53*(E28/2-E30)+fy*F52*(E28/2-E31)+I47*fc*(F73*E29)*(E28/2-F73/2))/10^6</f>
        <v>62400.039244664455</v>
      </c>
      <c r="J71" s="31"/>
      <c r="K71" s="27" t="s">
        <v>30</v>
      </c>
    </row>
    <row r="72" spans="1:12">
      <c r="A72" s="28" t="s">
        <v>104</v>
      </c>
      <c r="B72" s="2" t="s">
        <v>105</v>
      </c>
      <c r="F72" s="27">
        <f>F71*0.003/(0.0021+0.003)</f>
        <v>720.58823529411768</v>
      </c>
      <c r="G72" s="27" t="s">
        <v>55</v>
      </c>
      <c r="H72" s="28" t="s">
        <v>111</v>
      </c>
      <c r="I72" s="31">
        <f>K73*I71</f>
        <v>46800.029433498341</v>
      </c>
      <c r="J72" s="31"/>
      <c r="K72" s="27" t="s">
        <v>30</v>
      </c>
    </row>
    <row r="73" spans="1:12">
      <c r="A73" s="28" t="s">
        <v>107</v>
      </c>
      <c r="B73" s="2" t="s">
        <v>108</v>
      </c>
      <c r="F73" s="27">
        <f>F72*F57</f>
        <v>602.20588235294122</v>
      </c>
      <c r="G73" s="27" t="s">
        <v>55</v>
      </c>
      <c r="H73" s="27" t="s">
        <v>86</v>
      </c>
      <c r="I73" s="2" t="s">
        <v>120</v>
      </c>
      <c r="J73" s="33"/>
      <c r="K73" s="38">
        <f>K67</f>
        <v>0.75</v>
      </c>
    </row>
    <row r="74" spans="1:12">
      <c r="A74" s="2" t="s">
        <v>123</v>
      </c>
      <c r="J74" s="27" t="s">
        <v>124</v>
      </c>
    </row>
    <row r="75" spans="1:12">
      <c r="A75" s="27" t="s">
        <v>114</v>
      </c>
      <c r="B75" s="2" t="s">
        <v>115</v>
      </c>
      <c r="F75" s="27">
        <f>IF(F76&gt;0.0021,400,F76*I9)</f>
        <v>400</v>
      </c>
      <c r="G75" s="27" t="s">
        <v>4</v>
      </c>
      <c r="H75" s="27" t="s">
        <v>78</v>
      </c>
      <c r="I75" s="31">
        <f>_xlfn.IFS(C41="Cốt đai thường",0.8,C41="Cốt đai xoắn",0.85)*(I47*fc*(F79*E29-F53)+F75*F53-F52*fy)/1000</f>
        <v>74264.190317579691</v>
      </c>
      <c r="J75" s="31"/>
      <c r="K75" s="28" t="s">
        <v>29</v>
      </c>
    </row>
    <row r="76" spans="1:12" ht="15.75">
      <c r="A76" s="27" t="s">
        <v>116</v>
      </c>
      <c r="B76" s="2" t="s">
        <v>117</v>
      </c>
      <c r="F76" s="27">
        <f>((F78-F55)/F78)*0.003</f>
        <v>2.5102040816326531E-3</v>
      </c>
      <c r="H76" s="27" t="s">
        <v>80</v>
      </c>
      <c r="I76" s="31">
        <f>I75*K79</f>
        <v>55698.142738184768</v>
      </c>
      <c r="J76" s="31"/>
      <c r="K76" s="28" t="s">
        <v>29</v>
      </c>
    </row>
    <row r="77" spans="1:12">
      <c r="A77" s="27" t="s">
        <v>118</v>
      </c>
      <c r="B77" s="2" t="s">
        <v>119</v>
      </c>
      <c r="F77" s="27">
        <f>F71</f>
        <v>1225</v>
      </c>
      <c r="G77" s="27" t="s">
        <v>55</v>
      </c>
      <c r="H77" s="28" t="s">
        <v>109</v>
      </c>
      <c r="I77" s="31">
        <f>(F75*E36*(E28/2-E30)+fy*E37*(E28/2-E31)+I47*fc*(F79*E29)*(E28/2-F79/2))/10^6</f>
        <v>53663.534465970748</v>
      </c>
      <c r="J77" s="31"/>
      <c r="K77" s="27" t="s">
        <v>30</v>
      </c>
    </row>
    <row r="78" spans="1:12">
      <c r="A78" s="28" t="s">
        <v>104</v>
      </c>
      <c r="B78" s="2" t="s">
        <v>105</v>
      </c>
      <c r="F78" s="27">
        <f>F77*0.003/(0.005+0.003)</f>
        <v>459.375</v>
      </c>
      <c r="G78" s="27" t="s">
        <v>55</v>
      </c>
      <c r="H78" s="28" t="s">
        <v>111</v>
      </c>
      <c r="I78" s="31">
        <f>K79*I77</f>
        <v>40247.650849478057</v>
      </c>
      <c r="J78" s="31"/>
      <c r="K78" s="27" t="s">
        <v>30</v>
      </c>
    </row>
    <row r="79" spans="1:12">
      <c r="A79" s="28" t="s">
        <v>107</v>
      </c>
      <c r="B79" s="2" t="s">
        <v>108</v>
      </c>
      <c r="F79" s="27">
        <f>F78*F57</f>
        <v>383.90625</v>
      </c>
      <c r="G79" s="27" t="s">
        <v>55</v>
      </c>
      <c r="H79" s="27" t="s">
        <v>86</v>
      </c>
      <c r="I79" s="2" t="s">
        <v>120</v>
      </c>
      <c r="J79" s="33"/>
      <c r="K79" s="38">
        <f>K73</f>
        <v>0.75</v>
      </c>
    </row>
    <row r="80" spans="1:12">
      <c r="A80" s="39" t="s">
        <v>125</v>
      </c>
      <c r="B80" s="40">
        <v>1</v>
      </c>
      <c r="C80" s="40"/>
      <c r="D80" s="40">
        <f>B80+1</f>
        <v>2</v>
      </c>
      <c r="E80" s="40"/>
      <c r="F80" s="40">
        <f t="shared" ref="F80" si="5">D80+1</f>
        <v>3</v>
      </c>
      <c r="G80" s="40"/>
      <c r="H80" s="40">
        <f t="shared" ref="H80" si="6">F80+1</f>
        <v>4</v>
      </c>
      <c r="I80" s="40"/>
      <c r="J80" s="40">
        <f t="shared" ref="J80" si="7">H80+1</f>
        <v>5</v>
      </c>
      <c r="K80" s="40"/>
    </row>
    <row r="81" spans="1:11">
      <c r="A81" s="39" t="s">
        <v>126</v>
      </c>
      <c r="B81" s="41">
        <f>B44</f>
        <v>207519.2327636845</v>
      </c>
      <c r="C81" s="40"/>
      <c r="D81" s="41">
        <f>I64</f>
        <v>150025.71720318968</v>
      </c>
      <c r="E81" s="40"/>
      <c r="F81" s="41">
        <f>I70</f>
        <v>89097.986488184775</v>
      </c>
      <c r="G81" s="40"/>
      <c r="H81" s="41">
        <f>I76</f>
        <v>55698.142738184768</v>
      </c>
      <c r="I81" s="40"/>
      <c r="J81" s="40">
        <v>0</v>
      </c>
      <c r="K81" s="40"/>
    </row>
    <row r="82" spans="1:11">
      <c r="A82" s="42" t="s">
        <v>127</v>
      </c>
      <c r="B82" s="40">
        <v>0</v>
      </c>
      <c r="C82" s="40"/>
      <c r="D82" s="41">
        <f>I66</f>
        <v>33288.169493187568</v>
      </c>
      <c r="E82" s="40"/>
      <c r="F82" s="41">
        <f>I72</f>
        <v>46800.029433498341</v>
      </c>
      <c r="G82" s="40"/>
      <c r="H82" s="41">
        <f>I78</f>
        <v>40247.650849478057</v>
      </c>
      <c r="I82" s="40"/>
      <c r="J82" s="40">
        <f>F61</f>
        <v>10980.420580097596</v>
      </c>
      <c r="K82" s="40"/>
    </row>
    <row r="83" spans="1:11">
      <c r="A83" s="2" t="s">
        <v>128</v>
      </c>
      <c r="B83" s="27"/>
      <c r="C83" s="27"/>
      <c r="D83" s="43"/>
      <c r="E83" s="27"/>
      <c r="F83" s="43"/>
      <c r="G83" s="27"/>
      <c r="H83" s="43"/>
      <c r="I83" s="27"/>
      <c r="J83" s="27"/>
      <c r="K83" s="27"/>
    </row>
    <row r="84" spans="1:11" ht="15.75">
      <c r="A84" s="42" t="s">
        <v>129</v>
      </c>
      <c r="B84" s="42" t="s">
        <v>130</v>
      </c>
      <c r="C84" s="42" t="s">
        <v>131</v>
      </c>
      <c r="D84" s="42" t="s">
        <v>116</v>
      </c>
      <c r="E84" s="42" t="s">
        <v>132</v>
      </c>
      <c r="F84" s="44" t="s">
        <v>114</v>
      </c>
      <c r="G84" s="42" t="s">
        <v>133</v>
      </c>
      <c r="H84" s="45" t="s">
        <v>134</v>
      </c>
      <c r="I84" s="45" t="s">
        <v>135</v>
      </c>
      <c r="J84" s="39" t="s">
        <v>136</v>
      </c>
      <c r="K84" s="39" t="s">
        <v>137</v>
      </c>
    </row>
    <row r="85" spans="1:11">
      <c r="A85" s="39">
        <v>1</v>
      </c>
      <c r="B85" s="39">
        <f>(0.15)*$F$54</f>
        <v>183.75</v>
      </c>
      <c r="C85" s="39">
        <f>$F$57*B85</f>
        <v>153.5625</v>
      </c>
      <c r="D85" s="46">
        <f>((B85-$F$55)/B85)*0.003</f>
        <v>1.7755102040816326E-3</v>
      </c>
      <c r="E85" s="46">
        <f>(($F$54-B85)/B85)*0.003</f>
        <v>1.7000000000000001E-2</v>
      </c>
      <c r="F85" s="39">
        <f>IF(D85&gt;0.0021,400,D85*$I$9)</f>
        <v>355.10204081632651</v>
      </c>
      <c r="G85" s="39">
        <f>IF(E85&gt;0.0021,400,E85*$I$9)</f>
        <v>400</v>
      </c>
      <c r="H85" s="45">
        <f>G85*$F$52/10^3</f>
        <v>10035.503572627234</v>
      </c>
      <c r="I85" s="45">
        <f>F85*$F$53/10^3</f>
        <v>4712.2351064587992</v>
      </c>
      <c r="J85" s="45">
        <f t="shared" ref="J85:J101" si="8">($I$47*fc*($E$29*C85-$E$36))/10^3</f>
        <v>38820.050272096538</v>
      </c>
      <c r="K85" s="39">
        <f>B85/$F$54</f>
        <v>0.15</v>
      </c>
    </row>
    <row r="86" spans="1:11">
      <c r="A86" s="39">
        <v>2</v>
      </c>
      <c r="B86" s="39">
        <f>(0.15+A85*0.05)*$F$54</f>
        <v>245</v>
      </c>
      <c r="C86" s="39">
        <f t="shared" ref="C86:C101" si="9">$F$57*B86</f>
        <v>204.75</v>
      </c>
      <c r="D86" s="46">
        <f t="shared" ref="D86:D101" si="10">((B86-$F$55)/B86)*0.003</f>
        <v>2.0816326530612244E-3</v>
      </c>
      <c r="E86" s="46">
        <f t="shared" ref="E86:E100" si="11">(($F$54-B86)/B86)*0.003</f>
        <v>1.2E-2</v>
      </c>
      <c r="F86" s="39">
        <f>IF(D86&gt;0.002,400,D86*$I$9)</f>
        <v>400</v>
      </c>
      <c r="G86" s="39">
        <f>IF(E86&gt;0.002,400,E86*$I$9)</f>
        <v>400</v>
      </c>
      <c r="H86" s="45">
        <f t="shared" ref="H86:H101" si="12">G86*$F$52/10^3</f>
        <v>10035.503572627234</v>
      </c>
      <c r="I86" s="45">
        <f t="shared" ref="I86:I101" si="13">F86*$F$53/10^3</f>
        <v>5308.0349475053144</v>
      </c>
      <c r="J86" s="45">
        <f t="shared" si="8"/>
        <v>51872.862772096538</v>
      </c>
      <c r="K86" s="39">
        <f t="shared" ref="K86:K101" si="14">B86/$F$54</f>
        <v>0.2</v>
      </c>
    </row>
    <row r="87" spans="1:11">
      <c r="A87" s="39">
        <v>3</v>
      </c>
      <c r="B87" s="39">
        <f t="shared" ref="B87:B101" si="15">(0.15+A86*0.05)*$F$54</f>
        <v>306.25</v>
      </c>
      <c r="C87" s="39">
        <f t="shared" si="9"/>
        <v>255.9375</v>
      </c>
      <c r="D87" s="46">
        <f t="shared" si="10"/>
        <v>2.2653061224489797E-3</v>
      </c>
      <c r="E87" s="46">
        <f t="shared" si="11"/>
        <v>9.0000000000000011E-3</v>
      </c>
      <c r="F87" s="39">
        <f t="shared" ref="F87:G101" si="16">IF(D87&gt;0.0021,400,D87*$I$9)</f>
        <v>400</v>
      </c>
      <c r="G87" s="39">
        <f t="shared" si="16"/>
        <v>400</v>
      </c>
      <c r="H87" s="45">
        <f t="shared" si="12"/>
        <v>10035.503572627234</v>
      </c>
      <c r="I87" s="45">
        <f t="shared" si="13"/>
        <v>5308.0349475053144</v>
      </c>
      <c r="J87" s="45">
        <f t="shared" si="8"/>
        <v>64925.675272096531</v>
      </c>
      <c r="K87" s="39">
        <f t="shared" si="14"/>
        <v>0.25</v>
      </c>
    </row>
    <row r="88" spans="1:11">
      <c r="A88" s="39">
        <v>4</v>
      </c>
      <c r="B88" s="39">
        <f t="shared" si="15"/>
        <v>367.50000000000006</v>
      </c>
      <c r="C88" s="39">
        <f t="shared" si="9"/>
        <v>307.12500000000006</v>
      </c>
      <c r="D88" s="46">
        <f t="shared" si="10"/>
        <v>2.3877551020408164E-3</v>
      </c>
      <c r="E88" s="46">
        <f t="shared" si="11"/>
        <v>6.9999999999999993E-3</v>
      </c>
      <c r="F88" s="39">
        <f t="shared" si="16"/>
        <v>400</v>
      </c>
      <c r="G88" s="39">
        <f t="shared" si="16"/>
        <v>400</v>
      </c>
      <c r="H88" s="45">
        <f t="shared" si="12"/>
        <v>10035.503572627234</v>
      </c>
      <c r="I88" s="45">
        <f t="shared" si="13"/>
        <v>5308.0349475053144</v>
      </c>
      <c r="J88" s="45">
        <f t="shared" si="8"/>
        <v>77978.487772096545</v>
      </c>
      <c r="K88" s="39">
        <f t="shared" si="14"/>
        <v>0.30000000000000004</v>
      </c>
    </row>
    <row r="89" spans="1:11">
      <c r="A89" s="39">
        <v>5</v>
      </c>
      <c r="B89" s="39">
        <f t="shared" si="15"/>
        <v>428.75</v>
      </c>
      <c r="C89" s="39">
        <f t="shared" si="9"/>
        <v>358.3125</v>
      </c>
      <c r="D89" s="46">
        <f t="shared" si="10"/>
        <v>2.4752186588921283E-3</v>
      </c>
      <c r="E89" s="46">
        <f t="shared" si="11"/>
        <v>5.5714285714285718E-3</v>
      </c>
      <c r="F89" s="39">
        <f t="shared" si="16"/>
        <v>400</v>
      </c>
      <c r="G89" s="39">
        <f t="shared" si="16"/>
        <v>400</v>
      </c>
      <c r="H89" s="45">
        <f t="shared" si="12"/>
        <v>10035.503572627234</v>
      </c>
      <c r="I89" s="45">
        <f t="shared" si="13"/>
        <v>5308.0349475053144</v>
      </c>
      <c r="J89" s="45">
        <f t="shared" si="8"/>
        <v>91031.300272096531</v>
      </c>
      <c r="K89" s="39">
        <f t="shared" si="14"/>
        <v>0.35</v>
      </c>
    </row>
    <row r="90" spans="1:11">
      <c r="A90" s="39">
        <v>6</v>
      </c>
      <c r="B90" s="39">
        <f t="shared" si="15"/>
        <v>490</v>
      </c>
      <c r="C90" s="39">
        <f t="shared" si="9"/>
        <v>409.5</v>
      </c>
      <c r="D90" s="46">
        <f t="shared" si="10"/>
        <v>2.5408163265306124E-3</v>
      </c>
      <c r="E90" s="46">
        <f t="shared" si="11"/>
        <v>4.5000000000000005E-3</v>
      </c>
      <c r="F90" s="39">
        <f t="shared" si="16"/>
        <v>400</v>
      </c>
      <c r="G90" s="39">
        <f t="shared" si="16"/>
        <v>400</v>
      </c>
      <c r="H90" s="45">
        <f t="shared" si="12"/>
        <v>10035.503572627234</v>
      </c>
      <c r="I90" s="45">
        <f t="shared" si="13"/>
        <v>5308.0349475053144</v>
      </c>
      <c r="J90" s="45">
        <f t="shared" si="8"/>
        <v>104084.11277209653</v>
      </c>
      <c r="K90" s="39">
        <f t="shared" si="14"/>
        <v>0.4</v>
      </c>
    </row>
    <row r="91" spans="1:11">
      <c r="A91" s="39">
        <v>7</v>
      </c>
      <c r="B91" s="39">
        <f t="shared" si="15"/>
        <v>551.25000000000011</v>
      </c>
      <c r="C91" s="39">
        <f t="shared" si="9"/>
        <v>460.68750000000011</v>
      </c>
      <c r="D91" s="46">
        <f t="shared" si="10"/>
        <v>2.5918367346938779E-3</v>
      </c>
      <c r="E91" s="46">
        <f t="shared" si="11"/>
        <v>3.6666666666666649E-3</v>
      </c>
      <c r="F91" s="39">
        <f t="shared" si="16"/>
        <v>400</v>
      </c>
      <c r="G91" s="39">
        <f t="shared" si="16"/>
        <v>400</v>
      </c>
      <c r="H91" s="45">
        <f t="shared" si="12"/>
        <v>10035.503572627234</v>
      </c>
      <c r="I91" s="45">
        <f t="shared" si="13"/>
        <v>5308.0349475053144</v>
      </c>
      <c r="J91" s="45">
        <f t="shared" si="8"/>
        <v>117136.92527209656</v>
      </c>
      <c r="K91" s="39">
        <f t="shared" si="14"/>
        <v>0.45000000000000007</v>
      </c>
    </row>
    <row r="92" spans="1:11">
      <c r="A92" s="39">
        <v>8</v>
      </c>
      <c r="B92" s="39">
        <f t="shared" si="15"/>
        <v>612.5</v>
      </c>
      <c r="C92" s="39">
        <f t="shared" si="9"/>
        <v>511.875</v>
      </c>
      <c r="D92" s="46">
        <f t="shared" si="10"/>
        <v>2.6326530612244899E-3</v>
      </c>
      <c r="E92" s="46">
        <f t="shared" si="11"/>
        <v>3.0000000000000001E-3</v>
      </c>
      <c r="F92" s="39">
        <f t="shared" si="16"/>
        <v>400</v>
      </c>
      <c r="G92" s="39">
        <f t="shared" si="16"/>
        <v>400</v>
      </c>
      <c r="H92" s="45">
        <f t="shared" si="12"/>
        <v>10035.503572627234</v>
      </c>
      <c r="I92" s="45">
        <f t="shared" si="13"/>
        <v>5308.0349475053144</v>
      </c>
      <c r="J92" s="45">
        <f t="shared" si="8"/>
        <v>130189.73777209655</v>
      </c>
      <c r="K92" s="39">
        <f t="shared" si="14"/>
        <v>0.5</v>
      </c>
    </row>
    <row r="93" spans="1:11">
      <c r="A93" s="39">
        <v>9</v>
      </c>
      <c r="B93" s="39">
        <f t="shared" si="15"/>
        <v>673.75</v>
      </c>
      <c r="C93" s="39">
        <f t="shared" si="9"/>
        <v>563.0625</v>
      </c>
      <c r="D93" s="46">
        <f t="shared" si="10"/>
        <v>2.6660482374768089E-3</v>
      </c>
      <c r="E93" s="46">
        <f t="shared" si="11"/>
        <v>2.4545454545454549E-3</v>
      </c>
      <c r="F93" s="39">
        <f t="shared" si="16"/>
        <v>400</v>
      </c>
      <c r="G93" s="39">
        <f t="shared" si="16"/>
        <v>400</v>
      </c>
      <c r="H93" s="45">
        <f t="shared" si="12"/>
        <v>10035.503572627234</v>
      </c>
      <c r="I93" s="45">
        <f t="shared" si="13"/>
        <v>5308.0349475053144</v>
      </c>
      <c r="J93" s="45">
        <f t="shared" si="8"/>
        <v>143242.55027209653</v>
      </c>
      <c r="K93" s="39">
        <f t="shared" si="14"/>
        <v>0.55000000000000004</v>
      </c>
    </row>
    <row r="94" spans="1:11">
      <c r="A94" s="39">
        <v>10</v>
      </c>
      <c r="B94" s="39">
        <f t="shared" si="15"/>
        <v>735</v>
      </c>
      <c r="C94" s="39">
        <f t="shared" si="9"/>
        <v>614.25</v>
      </c>
      <c r="D94" s="46">
        <f t="shared" si="10"/>
        <v>2.693877551020408E-3</v>
      </c>
      <c r="E94" s="46">
        <f t="shared" si="11"/>
        <v>2E-3</v>
      </c>
      <c r="F94" s="39">
        <f t="shared" si="16"/>
        <v>400</v>
      </c>
      <c r="G94" s="39">
        <f t="shared" si="16"/>
        <v>400</v>
      </c>
      <c r="H94" s="45">
        <f t="shared" si="12"/>
        <v>10035.503572627234</v>
      </c>
      <c r="I94" s="45">
        <f t="shared" si="13"/>
        <v>5308.0349475053144</v>
      </c>
      <c r="J94" s="45">
        <f t="shared" si="8"/>
        <v>156295.36277209653</v>
      </c>
      <c r="K94" s="39">
        <f t="shared" si="14"/>
        <v>0.6</v>
      </c>
    </row>
    <row r="95" spans="1:11">
      <c r="A95" s="39">
        <v>11</v>
      </c>
      <c r="B95" s="39">
        <f t="shared" si="15"/>
        <v>796.25</v>
      </c>
      <c r="C95" s="39">
        <f t="shared" si="9"/>
        <v>665.4375</v>
      </c>
      <c r="D95" s="46">
        <f t="shared" si="10"/>
        <v>2.7174254317111463E-3</v>
      </c>
      <c r="E95" s="46">
        <f t="shared" si="11"/>
        <v>1.6153846153846153E-3</v>
      </c>
      <c r="F95" s="39">
        <f t="shared" si="16"/>
        <v>400</v>
      </c>
      <c r="G95" s="39">
        <f t="shared" si="16"/>
        <v>323.07692307692304</v>
      </c>
      <c r="H95" s="45">
        <f t="shared" si="12"/>
        <v>8105.5990394296887</v>
      </c>
      <c r="I95" s="45">
        <f t="shared" si="13"/>
        <v>5308.0349475053144</v>
      </c>
      <c r="J95" s="45">
        <f t="shared" si="8"/>
        <v>169348.17527209653</v>
      </c>
      <c r="K95" s="39">
        <f t="shared" si="14"/>
        <v>0.65</v>
      </c>
    </row>
    <row r="96" spans="1:11">
      <c r="A96" s="39">
        <v>12</v>
      </c>
      <c r="B96" s="39">
        <f t="shared" si="15"/>
        <v>857.50000000000011</v>
      </c>
      <c r="C96" s="39">
        <f t="shared" si="9"/>
        <v>716.62500000000011</v>
      </c>
      <c r="D96" s="46">
        <f t="shared" si="10"/>
        <v>2.7376093294460644E-3</v>
      </c>
      <c r="E96" s="46">
        <f t="shared" si="11"/>
        <v>1.2857142857142852E-3</v>
      </c>
      <c r="F96" s="39">
        <f t="shared" si="16"/>
        <v>400</v>
      </c>
      <c r="G96" s="39">
        <f t="shared" si="16"/>
        <v>257.14285714285705</v>
      </c>
      <c r="H96" s="45">
        <f t="shared" si="12"/>
        <v>6451.3951538317924</v>
      </c>
      <c r="I96" s="45">
        <f t="shared" si="13"/>
        <v>5308.0349475053144</v>
      </c>
      <c r="J96" s="45">
        <f t="shared" si="8"/>
        <v>182400.98777209659</v>
      </c>
      <c r="K96" s="39">
        <f t="shared" si="14"/>
        <v>0.70000000000000007</v>
      </c>
    </row>
    <row r="97" spans="1:11">
      <c r="A97" s="39">
        <v>13</v>
      </c>
      <c r="B97" s="39">
        <f t="shared" si="15"/>
        <v>918.75000000000011</v>
      </c>
      <c r="C97" s="39">
        <f t="shared" si="9"/>
        <v>767.81250000000011</v>
      </c>
      <c r="D97" s="46">
        <f t="shared" si="10"/>
        <v>2.7551020408163266E-3</v>
      </c>
      <c r="E97" s="46">
        <f t="shared" si="11"/>
        <v>9.9999999999999937E-4</v>
      </c>
      <c r="F97" s="39">
        <f t="shared" si="16"/>
        <v>400</v>
      </c>
      <c r="G97" s="39">
        <f t="shared" si="16"/>
        <v>199.99999999999989</v>
      </c>
      <c r="H97" s="45">
        <f t="shared" si="12"/>
        <v>5017.7517863136145</v>
      </c>
      <c r="I97" s="45">
        <f t="shared" si="13"/>
        <v>5308.0349475053144</v>
      </c>
      <c r="J97" s="45">
        <f t="shared" si="8"/>
        <v>195453.80027209659</v>
      </c>
      <c r="K97" s="39">
        <f t="shared" si="14"/>
        <v>0.75000000000000011</v>
      </c>
    </row>
    <row r="98" spans="1:11">
      <c r="A98" s="39">
        <v>14</v>
      </c>
      <c r="B98" s="39">
        <f t="shared" si="15"/>
        <v>980</v>
      </c>
      <c r="C98" s="39">
        <f t="shared" si="9"/>
        <v>819</v>
      </c>
      <c r="D98" s="46">
        <f t="shared" si="10"/>
        <v>2.770408163265306E-3</v>
      </c>
      <c r="E98" s="46">
        <f t="shared" si="11"/>
        <v>7.5000000000000002E-4</v>
      </c>
      <c r="F98" s="39">
        <f t="shared" si="16"/>
        <v>400</v>
      </c>
      <c r="G98" s="39">
        <f t="shared" si="16"/>
        <v>150</v>
      </c>
      <c r="H98" s="45">
        <f t="shared" si="12"/>
        <v>3763.3138397352132</v>
      </c>
      <c r="I98" s="45">
        <f t="shared" si="13"/>
        <v>5308.0349475053144</v>
      </c>
      <c r="J98" s="45">
        <f t="shared" si="8"/>
        <v>208506.61277209653</v>
      </c>
      <c r="K98" s="39">
        <f t="shared" si="14"/>
        <v>0.8</v>
      </c>
    </row>
    <row r="99" spans="1:11">
      <c r="A99" s="39">
        <v>15</v>
      </c>
      <c r="B99" s="39">
        <f t="shared" si="15"/>
        <v>1041.25</v>
      </c>
      <c r="C99" s="39">
        <f t="shared" si="9"/>
        <v>870.1875</v>
      </c>
      <c r="D99" s="46">
        <f t="shared" si="10"/>
        <v>2.7839135654261706E-3</v>
      </c>
      <c r="E99" s="46">
        <f t="shared" si="11"/>
        <v>5.2941176470588241E-4</v>
      </c>
      <c r="F99" s="39">
        <f t="shared" si="16"/>
        <v>400</v>
      </c>
      <c r="G99" s="39">
        <f t="shared" si="16"/>
        <v>105.88235294117648</v>
      </c>
      <c r="H99" s="45">
        <f t="shared" si="12"/>
        <v>2656.4568280483863</v>
      </c>
      <c r="I99" s="45">
        <f t="shared" si="13"/>
        <v>5308.0349475053144</v>
      </c>
      <c r="J99" s="45">
        <f t="shared" si="8"/>
        <v>221559.4252720965</v>
      </c>
      <c r="K99" s="39">
        <f t="shared" si="14"/>
        <v>0.85</v>
      </c>
    </row>
    <row r="100" spans="1:11">
      <c r="A100" s="39">
        <v>16</v>
      </c>
      <c r="B100" s="39">
        <f t="shared" si="15"/>
        <v>1102.5</v>
      </c>
      <c r="C100" s="39">
        <f t="shared" si="9"/>
        <v>921.375</v>
      </c>
      <c r="D100" s="46">
        <f t="shared" si="10"/>
        <v>2.795918367346939E-3</v>
      </c>
      <c r="E100" s="46">
        <f t="shared" si="11"/>
        <v>3.3333333333333332E-4</v>
      </c>
      <c r="F100" s="39">
        <f t="shared" si="16"/>
        <v>400</v>
      </c>
      <c r="G100" s="39">
        <f t="shared" si="16"/>
        <v>66.666666666666671</v>
      </c>
      <c r="H100" s="45">
        <f t="shared" si="12"/>
        <v>1672.583928771206</v>
      </c>
      <c r="I100" s="45">
        <f t="shared" si="13"/>
        <v>5308.0349475053144</v>
      </c>
      <c r="J100" s="45">
        <f t="shared" si="8"/>
        <v>234612.2377720965</v>
      </c>
      <c r="K100" s="39">
        <f t="shared" si="14"/>
        <v>0.9</v>
      </c>
    </row>
    <row r="101" spans="1:11">
      <c r="A101" s="39">
        <v>17</v>
      </c>
      <c r="B101" s="39">
        <f t="shared" si="15"/>
        <v>1163.75</v>
      </c>
      <c r="C101" s="39">
        <f t="shared" si="9"/>
        <v>972.5625</v>
      </c>
      <c r="D101" s="46">
        <f t="shared" si="10"/>
        <v>2.8066595059076265E-3</v>
      </c>
      <c r="E101" s="46">
        <f>(($F$54-B101)/B101)*0.003</f>
        <v>1.5789473684210527E-4</v>
      </c>
      <c r="F101" s="39">
        <f t="shared" si="16"/>
        <v>400</v>
      </c>
      <c r="G101" s="39">
        <f>IF(E101&gt;0.0021,400,E101*$I$9)</f>
        <v>31.578947368421051</v>
      </c>
      <c r="H101" s="45">
        <f t="shared" si="12"/>
        <v>792.2765978389923</v>
      </c>
      <c r="I101" s="45">
        <f t="shared" si="13"/>
        <v>5308.0349475053144</v>
      </c>
      <c r="J101" s="45">
        <f t="shared" si="8"/>
        <v>247665.0502720965</v>
      </c>
      <c r="K101" s="47">
        <f t="shared" si="14"/>
        <v>0.95</v>
      </c>
    </row>
    <row r="102" spans="1:11">
      <c r="A102" s="40" t="s">
        <v>138</v>
      </c>
      <c r="B102" s="40"/>
      <c r="C102" s="40"/>
      <c r="D102" s="40"/>
      <c r="E102" s="40"/>
      <c r="F102" s="40"/>
      <c r="H102" s="48" t="s">
        <v>139</v>
      </c>
      <c r="I102" s="48"/>
      <c r="J102" s="48"/>
      <c r="K102" s="49"/>
    </row>
    <row r="103" spans="1:11">
      <c r="A103" s="42" t="s">
        <v>129</v>
      </c>
      <c r="B103" s="39" t="s">
        <v>86</v>
      </c>
      <c r="C103" s="39" t="s">
        <v>78</v>
      </c>
      <c r="D103" s="39" t="s">
        <v>80</v>
      </c>
      <c r="E103" s="42" t="s">
        <v>109</v>
      </c>
      <c r="F103" s="42" t="s">
        <v>111</v>
      </c>
      <c r="H103" s="39" t="s">
        <v>129</v>
      </c>
      <c r="I103" s="39" t="s">
        <v>137</v>
      </c>
      <c r="J103" s="39" t="s">
        <v>80</v>
      </c>
      <c r="K103" s="42" t="s">
        <v>111</v>
      </c>
    </row>
    <row r="104" spans="1:11" ht="14.25">
      <c r="A104" s="39">
        <v>1</v>
      </c>
      <c r="B104" s="45">
        <f>K67</f>
        <v>0.75</v>
      </c>
      <c r="C104" s="39">
        <f>_xlfn.IFS($C$41="Cốt đai thường",0.8,$C$41="Cốt đai xoắn",0.85)*(J85+I85-H85)</f>
        <v>26797.425444742486</v>
      </c>
      <c r="D104" s="39">
        <f>C104*B104</f>
        <v>20098.069083556864</v>
      </c>
      <c r="E104" s="39">
        <f>(H85*($E$28/2-$E$31)+I85*($E$28/2-$E$30)+J85*($E$28/2-C85/2))/10^3</f>
        <v>30732.330432382809</v>
      </c>
      <c r="F104" s="39">
        <f>E104*B104</f>
        <v>23049.247824287108</v>
      </c>
      <c r="H104" s="39">
        <v>1</v>
      </c>
      <c r="I104" s="50">
        <v>0</v>
      </c>
      <c r="J104" s="51">
        <f>_xlfn.IFS($C$41="Cốt đai thường",0.8,$C$41="Cốt đai xoắn",0.85)*F51*(-(E36+E37)*fy)/10^3</f>
        <v>-11047.347734495437</v>
      </c>
      <c r="K104" s="51">
        <v>0</v>
      </c>
    </row>
    <row r="105" spans="1:11">
      <c r="A105" s="39">
        <v>2</v>
      </c>
      <c r="B105" s="45">
        <f>B104</f>
        <v>0.75</v>
      </c>
      <c r="C105" s="39">
        <f t="shared" ref="C105:C120" si="17">_xlfn.IFS($C$41="Cốt đai thường",0.8,$C$41="Cốt đai xoắn",0.85)*(J86+I86-H86)</f>
        <v>37716.315317579698</v>
      </c>
      <c r="D105" s="39">
        <f t="shared" ref="D105:D120" si="18">C105*B105</f>
        <v>28287.236488184775</v>
      </c>
      <c r="E105" s="39">
        <f t="shared" ref="E105:E120" si="19">(H86*($E$28/2-$E$31)+I86*($E$28/2-$E$30)+J86*($E$28/2-C86/2))/10^3</f>
        <v>37229.411124645587</v>
      </c>
      <c r="F105" s="39">
        <f t="shared" ref="F105:F120" si="20">E105*B105</f>
        <v>27922.05834348419</v>
      </c>
      <c r="H105" s="39">
        <v>2</v>
      </c>
      <c r="I105" s="39">
        <v>0</v>
      </c>
      <c r="J105" s="51">
        <v>0</v>
      </c>
      <c r="K105" s="51">
        <f>F61</f>
        <v>10980.420580097596</v>
      </c>
    </row>
    <row r="106" spans="1:11">
      <c r="A106" s="39">
        <v>3</v>
      </c>
      <c r="B106" s="45">
        <f t="shared" ref="B106:B120" si="21">B105</f>
        <v>0.75</v>
      </c>
      <c r="C106" s="39">
        <f t="shared" si="17"/>
        <v>48158.565317579691</v>
      </c>
      <c r="D106" s="39">
        <f t="shared" si="18"/>
        <v>36118.923988184768</v>
      </c>
      <c r="E106" s="39">
        <f t="shared" si="19"/>
        <v>42715.766068462857</v>
      </c>
      <c r="F106" s="39">
        <f t="shared" si="20"/>
        <v>32036.824551347141</v>
      </c>
      <c r="H106" s="39">
        <v>3</v>
      </c>
      <c r="I106" s="45">
        <f>K85</f>
        <v>0.15</v>
      </c>
      <c r="J106" s="51">
        <f>D104</f>
        <v>20098.069083556864</v>
      </c>
      <c r="K106" s="51">
        <f>F104</f>
        <v>23049.247824287108</v>
      </c>
    </row>
    <row r="107" spans="1:11">
      <c r="A107" s="39">
        <v>4</v>
      </c>
      <c r="B107" s="45">
        <f t="shared" si="21"/>
        <v>0.75</v>
      </c>
      <c r="C107" s="39">
        <f t="shared" si="17"/>
        <v>58600.815317579698</v>
      </c>
      <c r="D107" s="39">
        <f t="shared" si="18"/>
        <v>43950.611488184775</v>
      </c>
      <c r="E107" s="39">
        <f t="shared" si="19"/>
        <v>47533.980172436393</v>
      </c>
      <c r="F107" s="39">
        <f t="shared" si="20"/>
        <v>35650.485129327295</v>
      </c>
      <c r="H107" s="39">
        <v>4</v>
      </c>
      <c r="I107" s="45">
        <f>K86</f>
        <v>0.2</v>
      </c>
      <c r="J107" s="51">
        <f>D105</f>
        <v>28287.236488184775</v>
      </c>
      <c r="K107" s="51">
        <f>F105</f>
        <v>27922.05834348419</v>
      </c>
    </row>
    <row r="108" spans="1:11">
      <c r="A108" s="39">
        <v>5</v>
      </c>
      <c r="B108" s="45">
        <f t="shared" si="21"/>
        <v>0.75</v>
      </c>
      <c r="C108" s="39">
        <f t="shared" si="17"/>
        <v>69043.065317579691</v>
      </c>
      <c r="D108" s="39">
        <f t="shared" si="18"/>
        <v>51782.298988184768</v>
      </c>
      <c r="E108" s="39">
        <f t="shared" si="19"/>
        <v>51684.053436566166</v>
      </c>
      <c r="F108" s="39">
        <f t="shared" si="20"/>
        <v>38763.040077424623</v>
      </c>
      <c r="H108" s="39">
        <v>5</v>
      </c>
      <c r="I108" s="45">
        <f>K87</f>
        <v>0.25</v>
      </c>
      <c r="J108" s="51">
        <f>D106</f>
        <v>36118.923988184768</v>
      </c>
      <c r="K108" s="51">
        <f>F106</f>
        <v>32036.824551347141</v>
      </c>
    </row>
    <row r="109" spans="1:11">
      <c r="A109" s="39">
        <v>6</v>
      </c>
      <c r="B109" s="45">
        <f t="shared" si="21"/>
        <v>0.75</v>
      </c>
      <c r="C109" s="39">
        <f t="shared" si="17"/>
        <v>79485.315317579691</v>
      </c>
      <c r="D109" s="39">
        <f t="shared" si="18"/>
        <v>59613.986488184768</v>
      </c>
      <c r="E109" s="39">
        <f t="shared" si="19"/>
        <v>55165.985860852197</v>
      </c>
      <c r="F109" s="39">
        <f t="shared" si="20"/>
        <v>41374.489395639146</v>
      </c>
      <c r="H109" s="39">
        <v>6</v>
      </c>
      <c r="I109" s="45">
        <f>K88</f>
        <v>0.30000000000000004</v>
      </c>
      <c r="J109" s="51">
        <f>D107</f>
        <v>43950.611488184775</v>
      </c>
      <c r="K109" s="51">
        <f>F107</f>
        <v>35650.485129327295</v>
      </c>
    </row>
    <row r="110" spans="1:11">
      <c r="A110" s="39">
        <v>7</v>
      </c>
      <c r="B110" s="45">
        <f t="shared" si="21"/>
        <v>0.75</v>
      </c>
      <c r="C110" s="39">
        <f t="shared" si="17"/>
        <v>89927.56531757972</v>
      </c>
      <c r="D110" s="39">
        <f t="shared" si="18"/>
        <v>67445.67398818479</v>
      </c>
      <c r="E110" s="39">
        <f t="shared" si="19"/>
        <v>57979.777445294487</v>
      </c>
      <c r="F110" s="39">
        <f t="shared" si="20"/>
        <v>43484.833083970865</v>
      </c>
      <c r="H110" s="39">
        <v>7</v>
      </c>
      <c r="I110" s="45">
        <f>K89</f>
        <v>0.35</v>
      </c>
      <c r="J110" s="51">
        <f>D108</f>
        <v>51782.298988184768</v>
      </c>
      <c r="K110" s="51">
        <f>F108</f>
        <v>38763.040077424623</v>
      </c>
    </row>
    <row r="111" spans="1:11">
      <c r="A111" s="39">
        <v>8</v>
      </c>
      <c r="B111" s="45">
        <f t="shared" si="21"/>
        <v>0.75</v>
      </c>
      <c r="C111" s="39">
        <f t="shared" si="17"/>
        <v>100369.81531757972</v>
      </c>
      <c r="D111" s="39">
        <f t="shared" si="18"/>
        <v>75277.36148818479</v>
      </c>
      <c r="E111" s="39">
        <f t="shared" si="19"/>
        <v>60125.428189893006</v>
      </c>
      <c r="F111" s="39">
        <f t="shared" si="20"/>
        <v>45094.071142419751</v>
      </c>
      <c r="H111" s="39">
        <v>8</v>
      </c>
      <c r="I111" s="45">
        <f>F78/$F$54</f>
        <v>0.375</v>
      </c>
      <c r="J111" s="51">
        <f>I76</f>
        <v>55698.142738184768</v>
      </c>
      <c r="K111" s="51">
        <f>I78</f>
        <v>40247.650849478057</v>
      </c>
    </row>
    <row r="112" spans="1:11">
      <c r="A112" s="39">
        <v>9</v>
      </c>
      <c r="B112" s="45">
        <f t="shared" si="21"/>
        <v>0.75</v>
      </c>
      <c r="C112" s="39">
        <f t="shared" si="17"/>
        <v>110812.06531757969</v>
      </c>
      <c r="D112" s="39">
        <f t="shared" si="18"/>
        <v>83109.048988184775</v>
      </c>
      <c r="E112" s="39">
        <f t="shared" si="19"/>
        <v>61602.93809464779</v>
      </c>
      <c r="F112" s="39">
        <f t="shared" si="20"/>
        <v>46202.203570985846</v>
      </c>
      <c r="H112" s="39">
        <v>9</v>
      </c>
      <c r="I112" s="45">
        <f>K90</f>
        <v>0.4</v>
      </c>
      <c r="J112" s="51">
        <f>D109</f>
        <v>59613.986488184768</v>
      </c>
      <c r="K112" s="51">
        <f>F109</f>
        <v>41374.489395639146</v>
      </c>
    </row>
    <row r="113" spans="1:11">
      <c r="A113" s="39">
        <v>10</v>
      </c>
      <c r="B113" s="45">
        <f t="shared" si="21"/>
        <v>0.75</v>
      </c>
      <c r="C113" s="39">
        <f t="shared" si="17"/>
        <v>121254.31531757969</v>
      </c>
      <c r="D113" s="39">
        <f t="shared" si="18"/>
        <v>90940.736488184775</v>
      </c>
      <c r="E113" s="39">
        <f t="shared" si="19"/>
        <v>62412.307159558812</v>
      </c>
      <c r="F113" s="39">
        <f t="shared" si="20"/>
        <v>46809.230369669109</v>
      </c>
      <c r="H113" s="39">
        <v>10</v>
      </c>
      <c r="I113" s="45">
        <f>K91</f>
        <v>0.45000000000000007</v>
      </c>
      <c r="J113" s="51">
        <f>D110</f>
        <v>67445.67398818479</v>
      </c>
      <c r="K113" s="51">
        <f>F110</f>
        <v>43484.833083970865</v>
      </c>
    </row>
    <row r="114" spans="1:11">
      <c r="A114" s="39">
        <v>11</v>
      </c>
      <c r="B114" s="45">
        <f t="shared" si="21"/>
        <v>0.75</v>
      </c>
      <c r="C114" s="39">
        <f t="shared" si="17"/>
        <v>133240.48894413773</v>
      </c>
      <c r="D114" s="39">
        <f t="shared" si="18"/>
        <v>99930.366708103305</v>
      </c>
      <c r="E114" s="39">
        <f t="shared" si="19"/>
        <v>61443.840278037504</v>
      </c>
      <c r="F114" s="39">
        <f t="shared" si="20"/>
        <v>46082.880208528128</v>
      </c>
      <c r="H114" s="39">
        <v>11</v>
      </c>
      <c r="I114" s="45">
        <f>K92</f>
        <v>0.5</v>
      </c>
      <c r="J114" s="51">
        <f>D111</f>
        <v>75277.36148818479</v>
      </c>
      <c r="K114" s="51">
        <f>F111</f>
        <v>45094.071142419751</v>
      </c>
    </row>
    <row r="115" spans="1:11">
      <c r="A115" s="39">
        <v>12</v>
      </c>
      <c r="B115" s="45">
        <f t="shared" si="21"/>
        <v>0.75</v>
      </c>
      <c r="C115" s="39">
        <f t="shared" si="17"/>
        <v>145006.1020526161</v>
      </c>
      <c r="D115" s="39">
        <f t="shared" si="18"/>
        <v>108754.57653946208</v>
      </c>
      <c r="E115" s="39">
        <f t="shared" si="19"/>
        <v>59965.760429042253</v>
      </c>
      <c r="F115" s="39">
        <f t="shared" si="20"/>
        <v>44974.320321781692</v>
      </c>
      <c r="H115" s="39">
        <v>12</v>
      </c>
      <c r="I115" s="45">
        <f>K93</f>
        <v>0.55000000000000004</v>
      </c>
      <c r="J115" s="51">
        <f>D112</f>
        <v>83109.048988184775</v>
      </c>
      <c r="K115" s="51">
        <f>F112</f>
        <v>46202.203570985846</v>
      </c>
    </row>
    <row r="116" spans="1:11">
      <c r="A116" s="39">
        <v>13</v>
      </c>
      <c r="B116" s="45">
        <f t="shared" si="21"/>
        <v>0.75</v>
      </c>
      <c r="C116" s="39">
        <f t="shared" si="17"/>
        <v>156595.26674663063</v>
      </c>
      <c r="D116" s="39">
        <f t="shared" si="18"/>
        <v>117446.45005997297</v>
      </c>
      <c r="E116" s="39">
        <f t="shared" si="19"/>
        <v>57946.362038099083</v>
      </c>
      <c r="F116" s="39">
        <f t="shared" si="20"/>
        <v>43459.771528574311</v>
      </c>
      <c r="H116" s="39">
        <v>13</v>
      </c>
      <c r="I116" s="45">
        <f>F72/$F$54</f>
        <v>0.58823529411764708</v>
      </c>
      <c r="J116" s="51">
        <f>I70</f>
        <v>89097.986488184775</v>
      </c>
      <c r="K116" s="51">
        <f>I72</f>
        <v>46800.029433498341</v>
      </c>
    </row>
    <row r="117" spans="1:11">
      <c r="A117" s="39">
        <v>14</v>
      </c>
      <c r="B117" s="45">
        <f t="shared" si="21"/>
        <v>0.75</v>
      </c>
      <c r="C117" s="39">
        <f t="shared" si="17"/>
        <v>168041.06710389332</v>
      </c>
      <c r="D117" s="39">
        <f t="shared" si="18"/>
        <v>126030.80032791999</v>
      </c>
      <c r="E117" s="39">
        <f t="shared" si="19"/>
        <v>55361.865924352518</v>
      </c>
      <c r="F117" s="39">
        <f t="shared" si="20"/>
        <v>41521.399443264389</v>
      </c>
      <c r="H117" s="39">
        <v>14</v>
      </c>
      <c r="I117" s="45">
        <f t="shared" ref="I117:I123" si="22">K94</f>
        <v>0.6</v>
      </c>
      <c r="J117" s="51">
        <f t="shared" ref="J117:J123" si="23">D113</f>
        <v>90940.736488184775</v>
      </c>
      <c r="K117" s="51">
        <f t="shared" ref="K117:K123" si="24">F113</f>
        <v>46809.230369669109</v>
      </c>
    </row>
    <row r="118" spans="1:11">
      <c r="A118" s="39">
        <v>15</v>
      </c>
      <c r="B118" s="45">
        <f t="shared" si="21"/>
        <v>0.75</v>
      </c>
      <c r="C118" s="39">
        <f t="shared" si="17"/>
        <v>179368.80271324274</v>
      </c>
      <c r="D118" s="39">
        <f t="shared" si="18"/>
        <v>134526.60203493206</v>
      </c>
      <c r="E118" s="39">
        <f t="shared" si="19"/>
        <v>52194.08800832487</v>
      </c>
      <c r="F118" s="39">
        <f t="shared" si="20"/>
        <v>39145.566006243651</v>
      </c>
      <c r="H118" s="39">
        <v>15</v>
      </c>
      <c r="I118" s="45">
        <f t="shared" si="22"/>
        <v>0.65</v>
      </c>
      <c r="J118" s="51">
        <f t="shared" si="23"/>
        <v>99930.366708103305</v>
      </c>
      <c r="K118" s="51">
        <f t="shared" si="24"/>
        <v>46082.880208528128</v>
      </c>
    </row>
    <row r="119" spans="1:11">
      <c r="A119" s="39">
        <v>16</v>
      </c>
      <c r="B119" s="45">
        <f t="shared" si="21"/>
        <v>0.75</v>
      </c>
      <c r="C119" s="39">
        <f t="shared" si="17"/>
        <v>190598.15103266449</v>
      </c>
      <c r="D119" s="39">
        <f t="shared" si="18"/>
        <v>142948.61327449838</v>
      </c>
      <c r="E119" s="39">
        <f t="shared" si="19"/>
        <v>48428.885117089019</v>
      </c>
      <c r="F119" s="39">
        <f t="shared" si="20"/>
        <v>36321.663837816763</v>
      </c>
      <c r="H119" s="39">
        <v>16</v>
      </c>
      <c r="I119" s="45">
        <f t="shared" si="22"/>
        <v>0.70000000000000007</v>
      </c>
      <c r="J119" s="51">
        <f t="shared" si="23"/>
        <v>108754.57653946208</v>
      </c>
      <c r="K119" s="51">
        <f t="shared" si="24"/>
        <v>44974.320321781692</v>
      </c>
    </row>
    <row r="120" spans="1:11">
      <c r="A120" s="39">
        <v>17</v>
      </c>
      <c r="B120" s="45">
        <f t="shared" si="21"/>
        <v>0.75</v>
      </c>
      <c r="C120" s="39">
        <f t="shared" si="17"/>
        <v>201744.64689741028</v>
      </c>
      <c r="D120" s="39">
        <f t="shared" si="18"/>
        <v>151308.48517305771</v>
      </c>
      <c r="E120" s="39">
        <f t="shared" si="19"/>
        <v>44055.091587807772</v>
      </c>
      <c r="F120" s="39">
        <f t="shared" si="20"/>
        <v>33041.318690855827</v>
      </c>
      <c r="H120" s="39">
        <v>17</v>
      </c>
      <c r="I120" s="45">
        <f t="shared" si="22"/>
        <v>0.75000000000000011</v>
      </c>
      <c r="J120" s="51">
        <f t="shared" si="23"/>
        <v>117446.45005997297</v>
      </c>
      <c r="K120" s="51">
        <f t="shared" si="24"/>
        <v>43459.771528574311</v>
      </c>
    </row>
    <row r="121" spans="1:11">
      <c r="A121" s="27"/>
      <c r="B121" s="27"/>
      <c r="C121" s="27"/>
      <c r="D121" s="52"/>
      <c r="E121" s="52"/>
      <c r="F121" s="27"/>
      <c r="H121" s="39">
        <v>18</v>
      </c>
      <c r="I121" s="45">
        <f t="shared" si="22"/>
        <v>0.8</v>
      </c>
      <c r="J121" s="51">
        <f t="shared" si="23"/>
        <v>126030.80032791999</v>
      </c>
      <c r="K121" s="51">
        <f t="shared" si="24"/>
        <v>41521.399443264389</v>
      </c>
    </row>
    <row r="122" spans="1:11">
      <c r="A122" s="27"/>
      <c r="B122" s="27"/>
      <c r="C122" s="27"/>
      <c r="D122" s="52"/>
      <c r="E122" s="52"/>
      <c r="F122" s="27"/>
      <c r="H122" s="39">
        <v>19</v>
      </c>
      <c r="I122" s="45">
        <f t="shared" si="22"/>
        <v>0.85</v>
      </c>
      <c r="J122" s="51">
        <f t="shared" si="23"/>
        <v>134526.60203493206</v>
      </c>
      <c r="K122" s="51">
        <f t="shared" si="24"/>
        <v>39145.566006243651</v>
      </c>
    </row>
    <row r="123" spans="1:11">
      <c r="A123" s="27"/>
      <c r="B123" s="27"/>
      <c r="C123" s="27"/>
      <c r="D123" s="52"/>
      <c r="E123" s="52"/>
      <c r="F123" s="27"/>
      <c r="H123" s="39">
        <v>20</v>
      </c>
      <c r="I123" s="45">
        <f t="shared" si="22"/>
        <v>0.9</v>
      </c>
      <c r="J123" s="51">
        <f t="shared" si="23"/>
        <v>142948.61327449838</v>
      </c>
      <c r="K123" s="51">
        <f t="shared" si="24"/>
        <v>36321.663837816763</v>
      </c>
    </row>
    <row r="124" spans="1:11">
      <c r="A124" s="27"/>
      <c r="B124" s="27"/>
      <c r="C124" s="27"/>
      <c r="D124" s="52"/>
      <c r="E124" s="52"/>
      <c r="F124" s="27"/>
      <c r="G124" s="27"/>
      <c r="H124" s="39">
        <v>21</v>
      </c>
      <c r="I124" s="45">
        <f>F66/$F$54</f>
        <v>0.93877551020408168</v>
      </c>
      <c r="J124" s="51">
        <f>I64</f>
        <v>150025.71720318968</v>
      </c>
      <c r="K124" s="51">
        <f>I66</f>
        <v>33288.169493187568</v>
      </c>
    </row>
    <row r="125" spans="1:11">
      <c r="A125" s="27"/>
      <c r="B125" s="27"/>
      <c r="C125" s="27"/>
      <c r="D125" s="52"/>
      <c r="E125" s="52"/>
      <c r="F125" s="27"/>
      <c r="G125" s="27"/>
      <c r="H125" s="39">
        <v>22</v>
      </c>
      <c r="I125" s="45">
        <f>K101</f>
        <v>0.95</v>
      </c>
      <c r="J125" s="51">
        <f>D120</f>
        <v>151308.48517305771</v>
      </c>
      <c r="K125" s="51">
        <f>F120</f>
        <v>33041.318690855827</v>
      </c>
    </row>
    <row r="126" spans="1:11">
      <c r="A126" s="27"/>
      <c r="B126" s="27"/>
      <c r="C126" s="27"/>
      <c r="D126" s="52"/>
      <c r="E126" s="52"/>
      <c r="F126" s="27"/>
      <c r="G126" s="27"/>
      <c r="H126" s="39">
        <v>23</v>
      </c>
      <c r="I126" s="45">
        <v>1</v>
      </c>
      <c r="J126" s="51">
        <f>B44</f>
        <v>207519.2327636845</v>
      </c>
      <c r="K126" s="51">
        <v>0</v>
      </c>
    </row>
    <row r="127" spans="1:11">
      <c r="A127" s="27"/>
      <c r="B127" s="27"/>
      <c r="C127" s="27"/>
      <c r="D127" s="52"/>
      <c r="E127" s="52"/>
      <c r="F127" s="27"/>
      <c r="G127" s="27"/>
      <c r="H127" s="40" t="s">
        <v>140</v>
      </c>
      <c r="I127" s="40"/>
      <c r="J127" s="40"/>
      <c r="K127" s="40"/>
    </row>
    <row r="128" spans="1:11" ht="15.75">
      <c r="A128" s="27"/>
      <c r="B128" s="27"/>
      <c r="C128" s="27"/>
      <c r="D128" s="52"/>
      <c r="E128" s="52"/>
      <c r="F128" s="27"/>
      <c r="G128" s="27"/>
      <c r="H128" s="45" t="s">
        <v>141</v>
      </c>
      <c r="I128" s="45" t="s">
        <v>142</v>
      </c>
      <c r="J128" s="39" t="s">
        <v>143</v>
      </c>
      <c r="K128" s="39" t="s">
        <v>144</v>
      </c>
    </row>
    <row r="129" spans="1:13">
      <c r="A129" s="27"/>
      <c r="B129" s="27"/>
      <c r="C129" s="27"/>
      <c r="D129" s="52"/>
      <c r="E129" s="52"/>
      <c r="F129" s="27"/>
      <c r="G129" s="27"/>
      <c r="H129" s="45">
        <f>H14</f>
        <v>5499.610427792315</v>
      </c>
      <c r="I129" s="45">
        <f>J14</f>
        <v>11576.54250944894</v>
      </c>
      <c r="J129" s="45">
        <f>I129/H129</f>
        <v>2.1049750089473269</v>
      </c>
      <c r="K129" s="45">
        <f>DEGREES(1/J129)</f>
        <v>27.219220783877745</v>
      </c>
    </row>
    <row r="130" spans="1:13">
      <c r="A130" s="27"/>
      <c r="B130" s="27"/>
      <c r="C130" s="27"/>
      <c r="D130" s="52"/>
      <c r="E130" s="52"/>
      <c r="F130" s="27"/>
      <c r="G130" s="27"/>
      <c r="H130" s="45">
        <f t="shared" ref="H130:H139" si="25">H15</f>
        <v>5106.7479385219285</v>
      </c>
      <c r="I130" s="45">
        <f t="shared" ref="I130:I141" si="26">J15</f>
        <v>10658.435421851344</v>
      </c>
      <c r="J130" s="45">
        <f t="shared" ref="J130:J141" si="27">I130/H130</f>
        <v>2.0871277670572219</v>
      </c>
      <c r="K130" s="45">
        <f t="shared" ref="K130:K141" si="28">DEGREES(1/J130)</f>
        <v>27.451975110209659</v>
      </c>
    </row>
    <row r="131" spans="1:13">
      <c r="A131" s="27"/>
      <c r="B131" s="27"/>
      <c r="C131" s="27"/>
      <c r="D131" s="52"/>
      <c r="E131" s="52"/>
      <c r="F131" s="27"/>
      <c r="G131" s="27"/>
      <c r="H131" s="45">
        <f t="shared" si="25"/>
        <v>3780.8370372343747</v>
      </c>
      <c r="I131" s="45">
        <f t="shared" si="26"/>
        <v>7559.8240012094548</v>
      </c>
      <c r="J131" s="45">
        <f t="shared" si="27"/>
        <v>1.9995106709860608</v>
      </c>
      <c r="K131" s="45">
        <f t="shared" si="28"/>
        <v>28.654900593667175</v>
      </c>
    </row>
    <row r="132" spans="1:13">
      <c r="A132" s="27"/>
      <c r="B132" s="27"/>
      <c r="C132" s="27"/>
      <c r="D132" s="52"/>
      <c r="E132" s="52"/>
      <c r="F132" s="27"/>
      <c r="G132" s="27"/>
      <c r="H132" s="45">
        <f t="shared" si="25"/>
        <v>4540.8882872343747</v>
      </c>
      <c r="I132" s="45">
        <f t="shared" si="26"/>
        <v>7615.8447824594541</v>
      </c>
      <c r="J132" s="45">
        <f t="shared" si="27"/>
        <v>1.6771706989290149</v>
      </c>
      <c r="K132" s="45">
        <f t="shared" si="28"/>
        <v>34.16216342777124</v>
      </c>
    </row>
    <row r="133" spans="1:13">
      <c r="B133" s="28"/>
      <c r="H133" s="45">
        <f t="shared" si="25"/>
        <v>5106.7479385219285</v>
      </c>
      <c r="I133" s="45">
        <f t="shared" si="26"/>
        <v>10658.435421851344</v>
      </c>
      <c r="J133" s="45">
        <f t="shared" si="27"/>
        <v>2.0871277670572219</v>
      </c>
      <c r="K133" s="45">
        <f t="shared" si="28"/>
        <v>27.451975110209659</v>
      </c>
    </row>
    <row r="134" spans="1:13">
      <c r="B134" s="28"/>
      <c r="H134" s="45">
        <f t="shared" si="25"/>
        <v>3440.301689744233</v>
      </c>
      <c r="I134" s="45">
        <f t="shared" si="26"/>
        <v>12577.524190797396</v>
      </c>
      <c r="J134" s="45">
        <f t="shared" si="27"/>
        <v>3.6559364047321279</v>
      </c>
      <c r="K134" s="45">
        <f t="shared" si="28"/>
        <v>15.671984731167777</v>
      </c>
    </row>
    <row r="135" spans="1:13">
      <c r="B135" s="28"/>
      <c r="H135" s="45">
        <f t="shared" si="25"/>
        <v>4271.9151488223579</v>
      </c>
      <c r="I135" s="45">
        <f t="shared" si="26"/>
        <v>8112.5760159299807</v>
      </c>
      <c r="J135" s="45">
        <f t="shared" si="27"/>
        <v>1.8990489589116444</v>
      </c>
      <c r="K135" s="45">
        <f t="shared" si="28"/>
        <v>30.170775347423824</v>
      </c>
    </row>
    <row r="136" spans="1:13">
      <c r="B136" s="28"/>
      <c r="H136" s="45">
        <f t="shared" si="25"/>
        <v>3931.3798013322157</v>
      </c>
      <c r="I136" s="45">
        <f t="shared" si="26"/>
        <v>8052.4726157407176</v>
      </c>
      <c r="J136" s="45">
        <f t="shared" si="27"/>
        <v>2.0482560888703754</v>
      </c>
      <c r="K136" s="45">
        <f t="shared" si="28"/>
        <v>27.9729570068952</v>
      </c>
    </row>
    <row r="137" spans="1:13">
      <c r="B137" s="28"/>
      <c r="H137" s="45">
        <f t="shared" si="25"/>
        <v>4226.0266682850051</v>
      </c>
      <c r="I137" s="45">
        <f t="shared" si="26"/>
        <v>8741.0529314389169</v>
      </c>
      <c r="J137" s="45">
        <f t="shared" si="27"/>
        <v>2.0683856533698091</v>
      </c>
      <c r="K137" s="45">
        <f t="shared" si="28"/>
        <v>27.700723711623205</v>
      </c>
    </row>
    <row r="138" spans="1:13">
      <c r="B138" s="28"/>
      <c r="H138" s="45">
        <f t="shared" si="25"/>
        <v>3734.9485566970225</v>
      </c>
      <c r="I138" s="45">
        <f t="shared" si="26"/>
        <v>7593.4190719419194</v>
      </c>
      <c r="J138" s="45">
        <f t="shared" si="27"/>
        <v>2.0330719303553435</v>
      </c>
      <c r="K138" s="45">
        <f t="shared" si="28"/>
        <v>28.181875248785751</v>
      </c>
    </row>
    <row r="139" spans="1:13">
      <c r="A139" s="27"/>
      <c r="B139" s="28"/>
      <c r="H139" s="45">
        <f t="shared" si="25"/>
        <v>2949.2235781562499</v>
      </c>
      <c r="I139" s="45">
        <f t="shared" si="26"/>
        <v>5757.2048967467263</v>
      </c>
      <c r="J139" s="45">
        <f t="shared" si="27"/>
        <v>1.952108663238725</v>
      </c>
      <c r="K139" s="45">
        <f t="shared" si="28"/>
        <v>29.350712177068793</v>
      </c>
    </row>
    <row r="140" spans="1:13">
      <c r="A140" s="27"/>
      <c r="B140" s="28"/>
      <c r="H140" s="45">
        <f>H25</f>
        <v>1473.2343347639487</v>
      </c>
      <c r="I140" s="45">
        <f t="shared" si="26"/>
        <v>3442.9015784909875</v>
      </c>
      <c r="J140" s="45">
        <f t="shared" si="27"/>
        <v>2.3369680554197996</v>
      </c>
      <c r="K140" s="45">
        <f t="shared" si="28"/>
        <v>24.517142791149549</v>
      </c>
    </row>
    <row r="141" spans="1:13">
      <c r="A141" s="27"/>
      <c r="B141" s="28"/>
      <c r="H141" s="45">
        <v>20000</v>
      </c>
      <c r="I141" s="45">
        <v>5000</v>
      </c>
      <c r="J141" s="45">
        <f t="shared" si="27"/>
        <v>0.25</v>
      </c>
      <c r="K141" s="45">
        <f t="shared" si="28"/>
        <v>229.18311805232929</v>
      </c>
      <c r="L141" s="25">
        <f>H26</f>
        <v>736.61716738197435</v>
      </c>
      <c r="M141" s="25">
        <f>J26</f>
        <v>1721.4507892454938</v>
      </c>
    </row>
    <row r="142" spans="1:13">
      <c r="A142" s="27"/>
      <c r="I142" s="33"/>
      <c r="J142" s="33"/>
    </row>
    <row r="143" spans="1:13">
      <c r="A143" s="53" t="s">
        <v>145</v>
      </c>
      <c r="F143" s="2" t="s">
        <v>146</v>
      </c>
      <c r="J143" s="27">
        <v>1</v>
      </c>
    </row>
    <row r="144" spans="1:13">
      <c r="A144" s="53" t="s">
        <v>147</v>
      </c>
      <c r="K144" s="27"/>
      <c r="L144" s="2" t="s">
        <v>148</v>
      </c>
    </row>
    <row r="145" spans="1:11">
      <c r="K145" s="27"/>
    </row>
    <row r="146" spans="1:11">
      <c r="A146" s="2" t="s">
        <v>149</v>
      </c>
      <c r="F146" s="2" t="s">
        <v>146</v>
      </c>
      <c r="J146" s="27">
        <v>2</v>
      </c>
    </row>
    <row r="148" spans="1:11" ht="15.75">
      <c r="A148" s="27" t="s">
        <v>150</v>
      </c>
      <c r="B148" s="2" t="s">
        <v>151</v>
      </c>
      <c r="H148" s="27"/>
      <c r="I148" s="28" t="s">
        <v>29</v>
      </c>
    </row>
    <row r="149" spans="1:11" ht="15.75">
      <c r="A149" s="27" t="s">
        <v>152</v>
      </c>
      <c r="B149" s="2" t="s">
        <v>153</v>
      </c>
      <c r="H149" s="27"/>
      <c r="I149" s="28" t="s">
        <v>29</v>
      </c>
    </row>
    <row r="150" spans="1:11" ht="15.75">
      <c r="A150" s="27" t="s">
        <v>154</v>
      </c>
      <c r="B150" s="2" t="s">
        <v>155</v>
      </c>
      <c r="H150" s="27"/>
      <c r="I150" s="28" t="s">
        <v>29</v>
      </c>
    </row>
    <row r="151" spans="1:11">
      <c r="A151" s="27" t="s">
        <v>141</v>
      </c>
      <c r="B151" s="2" t="s">
        <v>156</v>
      </c>
      <c r="H151" s="54">
        <f>MAX(H14:H26)</f>
        <v>5499.610427792315</v>
      </c>
      <c r="I151" s="28" t="s">
        <v>29</v>
      </c>
    </row>
    <row r="152" spans="1:11" ht="15.75">
      <c r="A152" s="27" t="s">
        <v>157</v>
      </c>
      <c r="B152" s="2" t="s">
        <v>158</v>
      </c>
      <c r="H152" s="54"/>
      <c r="I152" s="28" t="s">
        <v>29</v>
      </c>
    </row>
    <row r="153" spans="1:11" ht="15.75">
      <c r="A153" s="27" t="s">
        <v>143</v>
      </c>
      <c r="B153" s="2" t="s">
        <v>159</v>
      </c>
      <c r="H153" s="54"/>
      <c r="I153" s="28" t="s">
        <v>50</v>
      </c>
    </row>
    <row r="154" spans="1:11" ht="15.75">
      <c r="A154" s="27" t="s">
        <v>160</v>
      </c>
      <c r="B154" s="2" t="s">
        <v>161</v>
      </c>
      <c r="H154" s="54"/>
      <c r="I154" s="28" t="s">
        <v>50</v>
      </c>
    </row>
    <row r="155" spans="1:11">
      <c r="A155" s="27" t="s">
        <v>162</v>
      </c>
      <c r="B155" s="2" t="s">
        <v>163</v>
      </c>
      <c r="H155" s="54"/>
      <c r="I155" s="28" t="s">
        <v>30</v>
      </c>
    </row>
    <row r="156" spans="1:11">
      <c r="A156" s="27" t="s">
        <v>164</v>
      </c>
      <c r="B156" s="2" t="s">
        <v>165</v>
      </c>
      <c r="H156" s="54"/>
      <c r="I156" s="28" t="s">
        <v>30</v>
      </c>
    </row>
    <row r="157" spans="1:11" ht="15.75">
      <c r="A157" s="27" t="s">
        <v>166</v>
      </c>
      <c r="B157" s="2" t="s">
        <v>167</v>
      </c>
      <c r="H157" s="27"/>
      <c r="I157" s="28" t="s">
        <v>30</v>
      </c>
    </row>
    <row r="158" spans="1:11" ht="15.75">
      <c r="A158" s="27" t="s">
        <v>168</v>
      </c>
      <c r="B158" s="2" t="s">
        <v>169</v>
      </c>
      <c r="H158" s="27"/>
      <c r="I158" s="28" t="s">
        <v>30</v>
      </c>
    </row>
    <row r="159" spans="1:11">
      <c r="B159" s="3"/>
      <c r="C159" s="25">
        <f>0.1*I48*fc*I45/1000</f>
        <v>29250.000000000007</v>
      </c>
      <c r="D159" s="28" t="s">
        <v>29</v>
      </c>
      <c r="E159" s="53" t="s">
        <v>170</v>
      </c>
      <c r="G159" s="27">
        <f>IF(C159&gt;H151,2,1)</f>
        <v>2</v>
      </c>
      <c r="H159" s="2" t="s">
        <v>171</v>
      </c>
    </row>
    <row r="160" spans="1:11">
      <c r="A160" s="27"/>
      <c r="B160" s="3"/>
    </row>
    <row r="161" spans="1:8">
      <c r="A161" s="55" t="s">
        <v>172</v>
      </c>
    </row>
    <row r="162" spans="1:8" ht="15.75">
      <c r="A162" s="44" t="s">
        <v>173</v>
      </c>
      <c r="B162" s="44" t="s">
        <v>174</v>
      </c>
      <c r="C162" s="42" t="s">
        <v>154</v>
      </c>
      <c r="D162" s="42" t="s">
        <v>168</v>
      </c>
      <c r="E162" s="42" t="s">
        <v>175</v>
      </c>
      <c r="F162" s="42" t="s">
        <v>176</v>
      </c>
      <c r="G162" s="42" t="s">
        <v>177</v>
      </c>
      <c r="H162" s="42" t="s">
        <v>178</v>
      </c>
    </row>
    <row r="163" spans="1:8">
      <c r="A163" s="56">
        <f>H129</f>
        <v>5499.610427792315</v>
      </c>
      <c r="B163" s="56">
        <f>I129</f>
        <v>11576.54250944894</v>
      </c>
      <c r="C163" s="56"/>
      <c r="D163" s="56"/>
      <c r="E163" s="56">
        <f>IF($G$159=1,IF(F163&lt;1,"ok","ngu"),0)</f>
        <v>0</v>
      </c>
      <c r="F163" s="56">
        <f>IF($G$159=1,B163/D163,0)</f>
        <v>0</v>
      </c>
      <c r="G163" s="56" t="e">
        <f>IF($G$159=2,IF(H163&lt;1,"ok","ngu"),0)</f>
        <v>#DIV/0!</v>
      </c>
      <c r="H163" s="56" t="e">
        <f>IF($G$159=2,B163/D163,0)</f>
        <v>#DIV/0!</v>
      </c>
    </row>
    <row r="164" spans="1:8">
      <c r="A164" s="56">
        <f t="shared" ref="A164:B175" si="29">H130</f>
        <v>5106.7479385219285</v>
      </c>
      <c r="B164" s="56">
        <f t="shared" si="29"/>
        <v>10658.435421851344</v>
      </c>
      <c r="C164" s="56"/>
      <c r="D164" s="56"/>
      <c r="E164" s="56">
        <f t="shared" ref="E164:E175" si="30">IF($G$159=1,IF(F164&lt;1,"ok","ngu"),0)</f>
        <v>0</v>
      </c>
      <c r="F164" s="56">
        <f t="shared" ref="F164:F175" si="31">IF($G$159=1,B164/D164,0)</f>
        <v>0</v>
      </c>
      <c r="G164" s="56" t="e">
        <f t="shared" ref="G164:G175" si="32">IF($G$159=2,IF(H164&lt;1,"ok","ngu"),0)</f>
        <v>#DIV/0!</v>
      </c>
      <c r="H164" s="56" t="e">
        <f t="shared" ref="H164:H175" si="33">B164/D164</f>
        <v>#DIV/0!</v>
      </c>
    </row>
    <row r="165" spans="1:8">
      <c r="A165" s="56">
        <f t="shared" si="29"/>
        <v>3780.8370372343747</v>
      </c>
      <c r="B165" s="56">
        <f t="shared" si="29"/>
        <v>7559.8240012094548</v>
      </c>
      <c r="C165" s="56"/>
      <c r="D165" s="56"/>
      <c r="E165" s="56">
        <f>IF($G$159=1,IF(F165&lt;1,"ok","ngu"),0)</f>
        <v>0</v>
      </c>
      <c r="F165" s="56">
        <f t="shared" si="31"/>
        <v>0</v>
      </c>
      <c r="G165" s="56" t="e">
        <f t="shared" si="32"/>
        <v>#DIV/0!</v>
      </c>
      <c r="H165" s="56" t="e">
        <f t="shared" si="33"/>
        <v>#DIV/0!</v>
      </c>
    </row>
    <row r="166" spans="1:8">
      <c r="A166" s="56">
        <f t="shared" si="29"/>
        <v>4540.8882872343747</v>
      </c>
      <c r="B166" s="56">
        <f t="shared" si="29"/>
        <v>7615.8447824594541</v>
      </c>
      <c r="C166" s="56"/>
      <c r="D166" s="56"/>
      <c r="E166" s="56">
        <f t="shared" si="30"/>
        <v>0</v>
      </c>
      <c r="F166" s="56">
        <f t="shared" si="31"/>
        <v>0</v>
      </c>
      <c r="G166" s="56" t="e">
        <f t="shared" si="32"/>
        <v>#DIV/0!</v>
      </c>
      <c r="H166" s="56" t="e">
        <f t="shared" si="33"/>
        <v>#DIV/0!</v>
      </c>
    </row>
    <row r="167" spans="1:8">
      <c r="A167" s="56">
        <f t="shared" si="29"/>
        <v>5106.7479385219285</v>
      </c>
      <c r="B167" s="56">
        <f t="shared" si="29"/>
        <v>10658.435421851344</v>
      </c>
      <c r="C167" s="56"/>
      <c r="D167" s="56"/>
      <c r="E167" s="56">
        <f t="shared" si="30"/>
        <v>0</v>
      </c>
      <c r="F167" s="56">
        <f t="shared" si="31"/>
        <v>0</v>
      </c>
      <c r="G167" s="56" t="e">
        <f t="shared" si="32"/>
        <v>#DIV/0!</v>
      </c>
      <c r="H167" s="56" t="e">
        <f t="shared" si="33"/>
        <v>#DIV/0!</v>
      </c>
    </row>
    <row r="168" spans="1:8">
      <c r="A168" s="56">
        <f t="shared" si="29"/>
        <v>3440.301689744233</v>
      </c>
      <c r="B168" s="56">
        <f t="shared" si="29"/>
        <v>12577.524190797396</v>
      </c>
      <c r="C168" s="56"/>
      <c r="D168" s="56"/>
      <c r="E168" s="56">
        <f t="shared" si="30"/>
        <v>0</v>
      </c>
      <c r="F168" s="56">
        <f t="shared" si="31"/>
        <v>0</v>
      </c>
      <c r="G168" s="56" t="e">
        <f t="shared" si="32"/>
        <v>#DIV/0!</v>
      </c>
      <c r="H168" s="56" t="e">
        <f t="shared" si="33"/>
        <v>#DIV/0!</v>
      </c>
    </row>
    <row r="169" spans="1:8">
      <c r="A169" s="56">
        <f t="shared" si="29"/>
        <v>4271.9151488223579</v>
      </c>
      <c r="B169" s="56">
        <f t="shared" si="29"/>
        <v>8112.5760159299807</v>
      </c>
      <c r="C169" s="56"/>
      <c r="D169" s="56"/>
      <c r="E169" s="56">
        <f t="shared" si="30"/>
        <v>0</v>
      </c>
      <c r="F169" s="56">
        <f t="shared" si="31"/>
        <v>0</v>
      </c>
      <c r="G169" s="56" t="e">
        <f t="shared" si="32"/>
        <v>#DIV/0!</v>
      </c>
      <c r="H169" s="56" t="e">
        <f t="shared" si="33"/>
        <v>#DIV/0!</v>
      </c>
    </row>
    <row r="170" spans="1:8">
      <c r="A170" s="56">
        <f t="shared" si="29"/>
        <v>3931.3798013322157</v>
      </c>
      <c r="B170" s="56">
        <f t="shared" si="29"/>
        <v>8052.4726157407176</v>
      </c>
      <c r="C170" s="56"/>
      <c r="D170" s="56"/>
      <c r="E170" s="56">
        <f t="shared" si="30"/>
        <v>0</v>
      </c>
      <c r="F170" s="56">
        <f t="shared" si="31"/>
        <v>0</v>
      </c>
      <c r="G170" s="56" t="e">
        <f t="shared" si="32"/>
        <v>#DIV/0!</v>
      </c>
      <c r="H170" s="56" t="e">
        <f t="shared" si="33"/>
        <v>#DIV/0!</v>
      </c>
    </row>
    <row r="171" spans="1:8">
      <c r="A171" s="56">
        <f t="shared" si="29"/>
        <v>4226.0266682850051</v>
      </c>
      <c r="B171" s="56">
        <f t="shared" si="29"/>
        <v>8741.0529314389169</v>
      </c>
      <c r="C171" s="56"/>
      <c r="D171" s="56"/>
      <c r="E171" s="56">
        <f t="shared" si="30"/>
        <v>0</v>
      </c>
      <c r="F171" s="56">
        <f t="shared" si="31"/>
        <v>0</v>
      </c>
      <c r="G171" s="56" t="e">
        <f t="shared" si="32"/>
        <v>#DIV/0!</v>
      </c>
      <c r="H171" s="56" t="e">
        <f t="shared" si="33"/>
        <v>#DIV/0!</v>
      </c>
    </row>
    <row r="172" spans="1:8">
      <c r="A172" s="56">
        <f t="shared" si="29"/>
        <v>3734.9485566970225</v>
      </c>
      <c r="B172" s="56">
        <f t="shared" si="29"/>
        <v>7593.4190719419194</v>
      </c>
      <c r="C172" s="56"/>
      <c r="D172" s="56"/>
      <c r="E172" s="56">
        <f t="shared" si="30"/>
        <v>0</v>
      </c>
      <c r="F172" s="56">
        <f t="shared" si="31"/>
        <v>0</v>
      </c>
      <c r="G172" s="56" t="e">
        <f t="shared" si="32"/>
        <v>#DIV/0!</v>
      </c>
      <c r="H172" s="56" t="e">
        <f t="shared" si="33"/>
        <v>#DIV/0!</v>
      </c>
    </row>
    <row r="173" spans="1:8">
      <c r="A173" s="56">
        <f t="shared" si="29"/>
        <v>2949.2235781562499</v>
      </c>
      <c r="B173" s="56">
        <f t="shared" si="29"/>
        <v>5757.2048967467263</v>
      </c>
      <c r="C173" s="56"/>
      <c r="D173" s="56"/>
      <c r="E173" s="56">
        <f t="shared" si="30"/>
        <v>0</v>
      </c>
      <c r="F173" s="56">
        <f t="shared" si="31"/>
        <v>0</v>
      </c>
      <c r="G173" s="56" t="e">
        <f t="shared" si="32"/>
        <v>#DIV/0!</v>
      </c>
      <c r="H173" s="56" t="e">
        <f t="shared" si="33"/>
        <v>#DIV/0!</v>
      </c>
    </row>
    <row r="174" spans="1:8">
      <c r="A174" s="56">
        <f t="shared" si="29"/>
        <v>1473.2343347639487</v>
      </c>
      <c r="B174" s="56">
        <f t="shared" si="29"/>
        <v>3442.9015784909875</v>
      </c>
      <c r="C174" s="56"/>
      <c r="D174" s="56"/>
      <c r="E174" s="56">
        <f t="shared" si="30"/>
        <v>0</v>
      </c>
      <c r="F174" s="56">
        <f t="shared" si="31"/>
        <v>0</v>
      </c>
      <c r="G174" s="56" t="e">
        <f t="shared" si="32"/>
        <v>#DIV/0!</v>
      </c>
      <c r="H174" s="56" t="e">
        <f t="shared" si="33"/>
        <v>#DIV/0!</v>
      </c>
    </row>
    <row r="175" spans="1:8">
      <c r="A175" s="56">
        <f t="shared" si="29"/>
        <v>20000</v>
      </c>
      <c r="B175" s="56">
        <f t="shared" si="29"/>
        <v>5000</v>
      </c>
      <c r="C175" s="56"/>
      <c r="D175" s="56"/>
      <c r="E175" s="56">
        <f t="shared" si="30"/>
        <v>0</v>
      </c>
      <c r="F175" s="56">
        <f t="shared" si="31"/>
        <v>0</v>
      </c>
      <c r="G175" s="56" t="e">
        <f t="shared" si="32"/>
        <v>#DIV/0!</v>
      </c>
      <c r="H175" s="56" t="e">
        <f t="shared" si="33"/>
        <v>#DIV/0!</v>
      </c>
    </row>
    <row r="176" spans="1:8">
      <c r="A176" s="57" t="s">
        <v>179</v>
      </c>
    </row>
    <row r="177" spans="1:18" ht="12.75" customHeight="1">
      <c r="A177" s="35" t="s">
        <v>180</v>
      </c>
      <c r="B177" s="35"/>
      <c r="C177" s="35"/>
      <c r="D177" s="35"/>
      <c r="E177" s="35"/>
      <c r="F177" s="35"/>
      <c r="G177" s="35"/>
      <c r="H177" s="35"/>
      <c r="I177" s="35"/>
      <c r="J177" s="35"/>
      <c r="K177" s="35"/>
      <c r="L177" s="36" t="s">
        <v>181</v>
      </c>
    </row>
    <row r="178" spans="1:18">
      <c r="A178" s="35"/>
      <c r="B178" s="35"/>
      <c r="C178" s="35"/>
      <c r="D178" s="35"/>
      <c r="E178" s="35"/>
      <c r="F178" s="35"/>
      <c r="G178" s="35"/>
      <c r="H178" s="35"/>
      <c r="I178" s="35"/>
      <c r="J178" s="35"/>
      <c r="K178" s="35"/>
      <c r="L178" s="36"/>
    </row>
    <row r="179" spans="1:18">
      <c r="A179" s="2" t="s">
        <v>182</v>
      </c>
    </row>
    <row r="180" spans="1:18" ht="20.25">
      <c r="A180" s="4" t="s">
        <v>183</v>
      </c>
      <c r="L180" s="58" t="s">
        <v>184</v>
      </c>
      <c r="M180" s="58"/>
      <c r="N180" s="58" t="s">
        <v>185</v>
      </c>
      <c r="O180" s="58"/>
      <c r="P180" s="58" t="s">
        <v>186</v>
      </c>
      <c r="Q180" s="58"/>
      <c r="R180" s="58"/>
    </row>
    <row r="181" spans="1:18">
      <c r="A181" s="4" t="s">
        <v>187</v>
      </c>
      <c r="L181" s="59">
        <v>1.2</v>
      </c>
      <c r="M181" s="59">
        <v>1.6</v>
      </c>
      <c r="N181" s="59">
        <v>1.1000000000000001</v>
      </c>
      <c r="O181" s="59">
        <v>1</v>
      </c>
      <c r="P181" s="59">
        <v>0.67</v>
      </c>
      <c r="Q181" s="59">
        <v>0.75</v>
      </c>
      <c r="R181" s="59">
        <v>1</v>
      </c>
    </row>
    <row r="182" spans="1:18" ht="19.5" customHeight="1">
      <c r="A182" s="60" t="s">
        <v>184</v>
      </c>
      <c r="B182" s="61">
        <v>1.6</v>
      </c>
      <c r="C182" s="4" t="str">
        <f>HLOOKUP(B182,L181:M182,2,0)</f>
        <v>Cho tất cả các kết cấu bê tông khác</v>
      </c>
      <c r="D182" s="4"/>
      <c r="E182" s="4"/>
      <c r="G182" s="2" t="s">
        <v>188</v>
      </c>
      <c r="H182" s="2" t="s">
        <v>189</v>
      </c>
      <c r="I182" s="28" t="s">
        <v>190</v>
      </c>
      <c r="J182" s="54">
        <f>(E29*E28^3/12)/(E28/2)</f>
        <v>2816666666.6666665</v>
      </c>
      <c r="K182" s="28" t="s">
        <v>191</v>
      </c>
      <c r="L182" s="62" t="s">
        <v>192</v>
      </c>
      <c r="M182" s="62" t="s">
        <v>193</v>
      </c>
      <c r="N182" s="62" t="s">
        <v>194</v>
      </c>
      <c r="O182" s="62" t="s">
        <v>195</v>
      </c>
      <c r="P182" s="62" t="s">
        <v>196</v>
      </c>
      <c r="Q182" s="62" t="s">
        <v>197</v>
      </c>
      <c r="R182" s="62" t="s">
        <v>198</v>
      </c>
    </row>
    <row r="183" spans="1:18" ht="20.25">
      <c r="A183" s="60" t="s">
        <v>186</v>
      </c>
      <c r="B183" s="61">
        <v>0.67</v>
      </c>
      <c r="C183" s="4" t="str">
        <f>HLOOKUP(B183,P181:R182,2,0)</f>
        <v>Cho cốt thép A615 cấp 420</v>
      </c>
      <c r="D183" s="4"/>
      <c r="E183" s="4"/>
      <c r="G183" s="2" t="s">
        <v>199</v>
      </c>
      <c r="H183" s="2" t="s">
        <v>200</v>
      </c>
      <c r="I183" s="28" t="s">
        <v>190</v>
      </c>
      <c r="J183" s="54">
        <f>B182*B183*I8*J182/10^6</f>
        <v>10419.129031300074</v>
      </c>
      <c r="K183" s="28" t="s">
        <v>30</v>
      </c>
      <c r="L183" s="62"/>
      <c r="M183" s="62"/>
      <c r="N183" s="62"/>
      <c r="O183" s="62"/>
      <c r="P183" s="62"/>
      <c r="Q183" s="62"/>
      <c r="R183" s="62"/>
    </row>
    <row r="184" spans="1:18">
      <c r="A184" s="28" t="s">
        <v>109</v>
      </c>
      <c r="B184" s="2" t="s">
        <v>110</v>
      </c>
      <c r="E184" s="27">
        <f>F60</f>
        <v>12200.467311219551</v>
      </c>
      <c r="F184" s="28" t="s">
        <v>30</v>
      </c>
      <c r="G184" s="2" t="s">
        <v>201</v>
      </c>
      <c r="H184" s="2" t="s">
        <v>202</v>
      </c>
      <c r="I184" s="28" t="s">
        <v>190</v>
      </c>
      <c r="J184" s="54">
        <f>1.33*MAX(J14:J26)</f>
        <v>16728.107173760538</v>
      </c>
      <c r="K184" s="28" t="s">
        <v>30</v>
      </c>
      <c r="L184" s="62"/>
      <c r="M184" s="62"/>
      <c r="N184" s="62"/>
      <c r="O184" s="62"/>
      <c r="P184" s="62"/>
      <c r="Q184" s="62"/>
      <c r="R184" s="62"/>
    </row>
    <row r="185" spans="1:18">
      <c r="A185" s="28" t="s">
        <v>86</v>
      </c>
      <c r="B185" s="2" t="s">
        <v>203</v>
      </c>
      <c r="E185" s="27">
        <v>0.9</v>
      </c>
      <c r="G185" s="2" t="s">
        <v>204</v>
      </c>
      <c r="I185" s="28" t="s">
        <v>190</v>
      </c>
      <c r="J185" s="54">
        <f>MIN(J183:J184)</f>
        <v>10419.129031300074</v>
      </c>
      <c r="K185" s="28" t="s">
        <v>30</v>
      </c>
    </row>
    <row r="186" spans="1:18">
      <c r="A186" s="28" t="s">
        <v>111</v>
      </c>
      <c r="B186" s="2" t="s">
        <v>112</v>
      </c>
      <c r="E186" s="27">
        <f>E185*E184</f>
        <v>10980.420580097596</v>
      </c>
      <c r="F186" s="28" t="s">
        <v>30</v>
      </c>
      <c r="G186" s="2" t="s">
        <v>205</v>
      </c>
      <c r="H186" s="4" t="s">
        <v>187</v>
      </c>
      <c r="J186" s="28" t="str">
        <f>IF(E186&gt;J185,"oke","Ngu")</f>
        <v>oke</v>
      </c>
    </row>
    <row r="187" spans="1:18">
      <c r="A187" s="57" t="s">
        <v>206</v>
      </c>
    </row>
    <row r="188" spans="1:18">
      <c r="A188" s="63" t="s">
        <v>207</v>
      </c>
      <c r="B188" s="4"/>
      <c r="H188" s="4"/>
      <c r="I188" s="4"/>
      <c r="J188" s="4"/>
      <c r="K188" s="4"/>
      <c r="L188" s="2" t="s">
        <v>208</v>
      </c>
    </row>
    <row r="189" spans="1:18">
      <c r="A189" s="53" t="s">
        <v>209</v>
      </c>
      <c r="B189" s="4"/>
      <c r="C189" s="4"/>
      <c r="D189" s="4"/>
      <c r="E189" s="4"/>
      <c r="F189" s="4"/>
      <c r="G189" s="4" t="s">
        <v>210</v>
      </c>
      <c r="H189" s="4"/>
      <c r="I189" s="4"/>
      <c r="J189" s="4"/>
      <c r="K189" s="4"/>
    </row>
    <row r="190" spans="1:18">
      <c r="A190" s="53"/>
      <c r="B190" s="4"/>
      <c r="C190" s="4"/>
      <c r="D190" s="4"/>
      <c r="E190" s="4"/>
      <c r="F190" s="4"/>
      <c r="G190" s="4"/>
      <c r="H190" s="4"/>
      <c r="I190" s="4"/>
      <c r="J190" s="4"/>
      <c r="K190" s="4"/>
    </row>
    <row r="191" spans="1:18">
      <c r="A191" s="53"/>
      <c r="B191" s="4"/>
      <c r="C191" s="4"/>
      <c r="D191" s="4"/>
      <c r="E191" s="4"/>
      <c r="F191" s="4"/>
      <c r="G191" s="4"/>
      <c r="H191" s="4"/>
      <c r="I191" s="4"/>
      <c r="J191" s="4"/>
      <c r="K191" s="4"/>
    </row>
    <row r="192" spans="1:18">
      <c r="A192" s="53"/>
      <c r="B192" s="4"/>
      <c r="C192" s="4"/>
      <c r="D192" s="4"/>
      <c r="E192" s="4"/>
      <c r="F192" s="4"/>
      <c r="G192" s="4"/>
      <c r="H192" s="4"/>
      <c r="I192" s="4"/>
      <c r="J192" s="4"/>
      <c r="K192" s="4"/>
    </row>
    <row r="193" spans="1:17">
      <c r="A193" s="53"/>
      <c r="B193" s="4"/>
      <c r="C193" s="4"/>
      <c r="D193" s="4"/>
      <c r="E193" s="4"/>
      <c r="F193" s="4"/>
      <c r="G193" s="4"/>
      <c r="H193" s="4"/>
      <c r="I193" s="4"/>
      <c r="J193" s="4"/>
      <c r="K193" s="4"/>
    </row>
    <row r="194" spans="1:17">
      <c r="A194" s="53"/>
      <c r="B194" s="4"/>
      <c r="C194" s="4"/>
      <c r="D194" s="4"/>
      <c r="E194" s="4"/>
      <c r="F194" s="4"/>
      <c r="G194" s="4"/>
      <c r="H194" s="4"/>
      <c r="I194" s="4"/>
      <c r="J194" s="4"/>
      <c r="K194" s="4"/>
    </row>
    <row r="195" spans="1:17">
      <c r="A195" s="3"/>
      <c r="B195" s="4"/>
      <c r="C195" s="4"/>
      <c r="D195" s="4"/>
      <c r="G195" s="4"/>
      <c r="H195" s="4"/>
      <c r="I195" s="4"/>
      <c r="J195" s="4"/>
      <c r="K195" s="4"/>
      <c r="L195" s="64">
        <v>1</v>
      </c>
    </row>
    <row r="196" spans="1:17">
      <c r="G196" s="4"/>
      <c r="H196" s="4"/>
      <c r="I196" s="4"/>
      <c r="J196" s="4"/>
      <c r="K196" s="4"/>
      <c r="L196" s="3" t="s">
        <v>211</v>
      </c>
      <c r="M196" s="3"/>
    </row>
    <row r="197" spans="1:17">
      <c r="A197" s="28" t="s">
        <v>212</v>
      </c>
      <c r="B197" s="2" t="s">
        <v>213</v>
      </c>
      <c r="C197" s="4"/>
      <c r="E197" s="65">
        <f>_xlfn.IFS(L195,0.9,N5201,0.8)</f>
        <v>0.9</v>
      </c>
      <c r="G197" s="28" t="s">
        <v>214</v>
      </c>
      <c r="H197" s="4" t="s">
        <v>215</v>
      </c>
      <c r="I197" s="4"/>
      <c r="J197" s="66">
        <v>2</v>
      </c>
      <c r="K197" s="28" t="s">
        <v>55</v>
      </c>
    </row>
    <row r="198" spans="1:17" ht="15.75" customHeight="1">
      <c r="A198" s="28" t="s">
        <v>216</v>
      </c>
      <c r="B198" s="4"/>
      <c r="C198" s="4"/>
      <c r="D198" s="4"/>
      <c r="E198" s="28">
        <f>MIN(E201,E28-(E30+E31))</f>
        <v>1150</v>
      </c>
      <c r="F198" s="65" t="s">
        <v>55</v>
      </c>
      <c r="G198" s="28" t="s">
        <v>142</v>
      </c>
      <c r="H198" s="3" t="s">
        <v>217</v>
      </c>
      <c r="I198" s="3"/>
      <c r="J198" s="54">
        <f>VLOOKUP(Q199,B14:J26,9,FALSE)</f>
        <v>12577.524190797396</v>
      </c>
      <c r="K198" s="28" t="s">
        <v>30</v>
      </c>
      <c r="L198" s="42" t="s">
        <v>218</v>
      </c>
      <c r="M198" s="42"/>
      <c r="N198" s="28" t="s">
        <v>142</v>
      </c>
      <c r="O198" s="28" t="s">
        <v>219</v>
      </c>
      <c r="P198" s="28" t="s">
        <v>220</v>
      </c>
    </row>
    <row r="199" spans="1:17" ht="15.75" customHeight="1">
      <c r="A199" s="28" t="s">
        <v>221</v>
      </c>
      <c r="B199" s="2" t="s">
        <v>222</v>
      </c>
      <c r="E199" s="28">
        <f>_xlfn.IFS((E198*35/(J197+16))&gt;2000,2000,(E198*35/(J197+16))&lt;294,294,AND((E198*35/(J197+16))&gt;294,(E198*35/(J197+16))&lt;2000),(E198*35/(J197+16)))</f>
        <v>2000</v>
      </c>
      <c r="F199" s="65" t="s">
        <v>55</v>
      </c>
      <c r="G199" s="28" t="s">
        <v>223</v>
      </c>
      <c r="H199" s="3" t="s">
        <v>224</v>
      </c>
      <c r="I199" s="3"/>
      <c r="J199" s="54">
        <f>VLOOKUP(Q199,B14:J26,7,FALSE)</f>
        <v>3440.301689744233</v>
      </c>
      <c r="K199" s="28" t="s">
        <v>29</v>
      </c>
      <c r="L199" s="42">
        <f>E28-E31</f>
        <v>1225</v>
      </c>
      <c r="M199" s="42">
        <f>L199-F59/2</f>
        <v>1215.7304536762315</v>
      </c>
      <c r="N199" s="67" t="str">
        <f>VLOOKUP(M27,$M$14:$P$26,4,FALSE)</f>
        <v>ĐB 1</v>
      </c>
      <c r="O199" s="67" t="str">
        <f>VLOOKUP(N27,$N$14:$P$26,3,FALSE)</f>
        <v>CĐ1</v>
      </c>
      <c r="P199" s="67" t="str">
        <f>VLOOKUP(O27,$O$14:$P$26,2,FALSE)</f>
        <v>ĐB 1</v>
      </c>
      <c r="Q199" s="27" t="str">
        <f>_xlfn.IFS(N199=P199,N199,N199=O199,N199,O199=P199,P199)</f>
        <v>ĐB 1</v>
      </c>
    </row>
    <row r="200" spans="1:17" ht="15.75" customHeight="1">
      <c r="A200" s="28" t="s">
        <v>225</v>
      </c>
      <c r="B200" s="3" t="s">
        <v>226</v>
      </c>
      <c r="C200" s="3"/>
      <c r="E200" s="28">
        <f>E29</f>
        <v>10000</v>
      </c>
      <c r="F200" s="65" t="s">
        <v>55</v>
      </c>
      <c r="G200" s="28" t="s">
        <v>220</v>
      </c>
      <c r="H200" s="3" t="s">
        <v>227</v>
      </c>
      <c r="I200" s="3"/>
      <c r="J200" s="54">
        <f>VLOOKUP(Q199,B14:J26,5,FALSE)</f>
        <v>3087.4352278215433</v>
      </c>
      <c r="K200" s="28" t="s">
        <v>228</v>
      </c>
      <c r="N200" s="25"/>
    </row>
    <row r="201" spans="1:17" ht="15.75">
      <c r="A201" s="28" t="s">
        <v>229</v>
      </c>
      <c r="B201" s="3" t="s">
        <v>230</v>
      </c>
      <c r="C201" s="3"/>
      <c r="E201" s="28">
        <f>MAX(0.72*E28,0.9*L199,M199)</f>
        <v>1215.7304536762315</v>
      </c>
      <c r="F201" s="65" t="s">
        <v>55</v>
      </c>
      <c r="G201" s="28" t="s">
        <v>231</v>
      </c>
      <c r="H201" s="3" t="s">
        <v>232</v>
      </c>
      <c r="I201" s="3"/>
      <c r="J201" s="68">
        <f>(ABS(J198*10^6)/E201+0.5*J199*10^3+0.5*ABS(J200)*10^3)/(I9*E37)</f>
        <v>2.7122745466836027E-3</v>
      </c>
      <c r="K201" s="28"/>
    </row>
    <row r="202" spans="1:17" ht="16.5">
      <c r="A202" s="28" t="s">
        <v>233</v>
      </c>
      <c r="B202" s="2" t="s">
        <v>234</v>
      </c>
      <c r="E202" s="28">
        <f>J200*10^3/(E197*E200*E201)</f>
        <v>0.28217468568752119</v>
      </c>
      <c r="F202" s="65" t="s">
        <v>4</v>
      </c>
      <c r="G202" s="28" t="s">
        <v>235</v>
      </c>
      <c r="H202" s="3" t="s">
        <v>236</v>
      </c>
      <c r="I202" s="3"/>
      <c r="J202" s="54">
        <f>29+3500*J201</f>
        <v>38.492960913392608</v>
      </c>
      <c r="K202" s="28" t="s">
        <v>237</v>
      </c>
    </row>
    <row r="203" spans="1:17" ht="15.75">
      <c r="A203" s="28" t="s">
        <v>238</v>
      </c>
      <c r="B203" s="2" t="s">
        <v>239</v>
      </c>
      <c r="E203" s="28">
        <f>_xlfn.IFS(E202&lt;0.125*'Kiểm toán tường thân'!fc,MIN(0.8*E201,600),E202&gt;0.125*'Kiểm toán tường thân'!fc,MIN(0.4*E201,300))</f>
        <v>600</v>
      </c>
      <c r="F203" s="65" t="s">
        <v>55</v>
      </c>
      <c r="G203" s="28" t="s">
        <v>240</v>
      </c>
      <c r="H203" s="3" t="s">
        <v>241</v>
      </c>
      <c r="I203" s="3"/>
      <c r="J203" s="54">
        <f>4.8/(1+750*J201)</f>
        <v>1.5819625109028628</v>
      </c>
      <c r="K203" s="28"/>
    </row>
    <row r="204" spans="1:17">
      <c r="A204" s="28" t="s">
        <v>242</v>
      </c>
      <c r="B204" s="3" t="s">
        <v>243</v>
      </c>
      <c r="C204" s="3"/>
      <c r="D204" s="4"/>
      <c r="E204" s="69">
        <v>450</v>
      </c>
      <c r="F204" s="65" t="s">
        <v>55</v>
      </c>
      <c r="G204" s="28" t="s">
        <v>244</v>
      </c>
      <c r="H204" s="3" t="s">
        <v>245</v>
      </c>
      <c r="I204" s="3"/>
      <c r="J204" s="66">
        <v>90</v>
      </c>
      <c r="K204" s="28" t="s">
        <v>237</v>
      </c>
    </row>
    <row r="205" spans="1:17">
      <c r="A205" s="28" t="s">
        <v>246</v>
      </c>
      <c r="B205" s="3" t="s">
        <v>247</v>
      </c>
      <c r="C205" s="3"/>
      <c r="D205" s="4"/>
      <c r="E205" s="69">
        <v>14</v>
      </c>
      <c r="F205" s="65" t="s">
        <v>55</v>
      </c>
      <c r="G205" s="28" t="s">
        <v>248</v>
      </c>
      <c r="J205" s="54">
        <f>(0.083*SQRT(fc)*J203*E200*E201)/10^3</f>
        <v>8743.2360363227581</v>
      </c>
      <c r="K205" s="28" t="s">
        <v>29</v>
      </c>
    </row>
    <row r="206" spans="1:17">
      <c r="A206" s="28" t="s">
        <v>249</v>
      </c>
      <c r="B206" s="3" t="s">
        <v>250</v>
      </c>
      <c r="C206" s="3"/>
      <c r="D206" s="4"/>
      <c r="E206" s="28">
        <f>ROUND(E200/E204,0)</f>
        <v>22</v>
      </c>
      <c r="F206" s="65" t="s">
        <v>60</v>
      </c>
      <c r="G206" s="28" t="s">
        <v>251</v>
      </c>
      <c r="I206" s="4"/>
      <c r="J206" s="54">
        <f>(E207*fy*E201*(IF(J204=0,"0",_xlfn.COT(RADIANS(J204)))+_xlfn.COT(RADIANS(J202)))*IF(J204=0,1,SIN(RADIANS(J204))))/(E204*10^3)</f>
        <v>4602.1177953531824</v>
      </c>
      <c r="K206" s="28" t="s">
        <v>29</v>
      </c>
    </row>
    <row r="207" spans="1:17">
      <c r="A207" s="28" t="s">
        <v>252</v>
      </c>
      <c r="B207" s="3" t="s">
        <v>253</v>
      </c>
      <c r="C207" s="3"/>
      <c r="D207" s="4"/>
      <c r="E207" s="27">
        <f>E206*PI()*E205^2/4</f>
        <v>3386.6368805697966</v>
      </c>
      <c r="F207" s="65" t="s">
        <v>69</v>
      </c>
      <c r="G207" s="28" t="s">
        <v>254</v>
      </c>
      <c r="H207" s="3">
        <f>E197*MIN(0.25*'Kiểm toán tường thân'!fc*E200*E201*10^-3,J205+J206)</f>
        <v>12010.818448508348</v>
      </c>
      <c r="I207" s="28" t="s">
        <v>29</v>
      </c>
      <c r="J207" s="4" t="s">
        <v>255</v>
      </c>
      <c r="K207" s="70" t="str">
        <f>IF(H207&gt;J200,"ok","ngu")</f>
        <v>ok</v>
      </c>
      <c r="L207" s="2" t="s">
        <v>256</v>
      </c>
    </row>
    <row r="208" spans="1:17" ht="12.75" customHeight="1">
      <c r="A208" s="53" t="s">
        <v>257</v>
      </c>
      <c r="F208" s="9"/>
      <c r="G208" s="53" t="str">
        <f>IF(J200&gt;0.5*(J205),"cần bố trí cốt thép ngang","không cần bố trí cốt thép ngang")</f>
        <v>không cần bố trí cốt thép ngang</v>
      </c>
      <c r="H208" s="3"/>
      <c r="K208" s="28"/>
      <c r="L208" s="2" t="s">
        <v>258</v>
      </c>
    </row>
    <row r="209" spans="1:17">
      <c r="G209" s="28"/>
      <c r="H209" s="3"/>
      <c r="K209" s="28"/>
    </row>
    <row r="210" spans="1:17" ht="12.75" customHeight="1">
      <c r="A210" s="35" t="s">
        <v>259</v>
      </c>
      <c r="B210" s="35"/>
      <c r="C210" s="35"/>
      <c r="D210" s="35"/>
      <c r="G210" s="71" t="s">
        <v>260</v>
      </c>
      <c r="H210" s="72" t="s">
        <v>261</v>
      </c>
      <c r="I210" s="36"/>
      <c r="K210" s="54">
        <f>IF(J200-J205*0.5&gt;0,0.083*SQRT(fc)*E200*E204/'Kiểm toán tường thân'!fy,0)</f>
        <v>0</v>
      </c>
    </row>
    <row r="211" spans="1:17" ht="15.75">
      <c r="A211" s="35"/>
      <c r="B211" s="35"/>
      <c r="C211" s="35"/>
      <c r="D211" s="35"/>
      <c r="G211" s="3" t="s">
        <v>262</v>
      </c>
      <c r="H211" s="36"/>
      <c r="I211" s="36"/>
      <c r="J211" s="36"/>
      <c r="K211" s="70" t="str">
        <f>IF(E207&gt;K210,"ok","ngu")</f>
        <v>ok</v>
      </c>
    </row>
    <row r="212" spans="1:17">
      <c r="A212" s="57" t="s">
        <v>263</v>
      </c>
      <c r="B212" s="65"/>
      <c r="C212" s="65"/>
      <c r="D212" s="65"/>
      <c r="E212" s="65"/>
      <c r="F212" s="65"/>
      <c r="G212" s="65"/>
      <c r="H212" s="65"/>
      <c r="I212" s="65"/>
      <c r="J212" s="65"/>
      <c r="K212" s="65"/>
      <c r="L212" s="73" t="s">
        <v>264</v>
      </c>
      <c r="M212" s="73"/>
      <c r="N212" s="73" t="s">
        <v>265</v>
      </c>
      <c r="O212" s="73"/>
      <c r="P212" s="73" t="s">
        <v>266</v>
      </c>
      <c r="Q212" s="73"/>
    </row>
    <row r="213" spans="1:17" ht="12.75" customHeight="1">
      <c r="A213" s="35" t="s">
        <v>267</v>
      </c>
      <c r="B213" s="35"/>
      <c r="C213" s="35"/>
      <c r="D213" s="35"/>
      <c r="E213" s="35"/>
      <c r="F213" s="35"/>
      <c r="G213" s="35"/>
      <c r="H213" s="4" t="s">
        <v>268</v>
      </c>
      <c r="I213" s="65"/>
      <c r="J213" s="65"/>
      <c r="K213" s="65"/>
      <c r="L213" s="74" t="s">
        <v>269</v>
      </c>
      <c r="M213" s="74">
        <v>0.9</v>
      </c>
      <c r="N213" s="74" t="s">
        <v>270</v>
      </c>
      <c r="O213" s="74">
        <v>0.9</v>
      </c>
      <c r="P213" s="74" t="s">
        <v>271</v>
      </c>
      <c r="Q213" s="74">
        <v>0.7</v>
      </c>
    </row>
    <row r="214" spans="1:17">
      <c r="A214" s="35"/>
      <c r="B214" s="35"/>
      <c r="C214" s="35"/>
      <c r="D214" s="35"/>
      <c r="E214" s="35"/>
      <c r="F214" s="35"/>
      <c r="G214" s="35"/>
      <c r="H214" s="65"/>
      <c r="I214" s="65"/>
      <c r="J214" s="65"/>
      <c r="K214" s="65"/>
      <c r="L214" s="74" t="s">
        <v>272</v>
      </c>
      <c r="M214" s="74">
        <v>1</v>
      </c>
      <c r="N214" s="74" t="s">
        <v>273</v>
      </c>
      <c r="O214" s="74">
        <v>0.8</v>
      </c>
      <c r="P214" s="74" t="s">
        <v>274</v>
      </c>
      <c r="Q214" s="74">
        <v>0.75</v>
      </c>
    </row>
    <row r="215" spans="1:17">
      <c r="A215" s="35" t="s">
        <v>275</v>
      </c>
      <c r="B215" s="35"/>
      <c r="C215" s="35"/>
      <c r="D215" s="35"/>
      <c r="E215" s="35"/>
      <c r="F215" s="35"/>
      <c r="G215" s="35"/>
      <c r="H215" s="3"/>
      <c r="I215" s="3"/>
      <c r="J215" s="3"/>
      <c r="K215" s="3"/>
      <c r="L215" s="28" t="s">
        <v>142</v>
      </c>
      <c r="M215" s="28" t="s">
        <v>219</v>
      </c>
      <c r="N215" s="28" t="s">
        <v>220</v>
      </c>
      <c r="P215" s="3" t="s">
        <v>276</v>
      </c>
      <c r="Q215" s="3">
        <v>0.7</v>
      </c>
    </row>
    <row r="216" spans="1:17">
      <c r="A216" s="35"/>
      <c r="B216" s="35"/>
      <c r="C216" s="35"/>
      <c r="D216" s="35"/>
      <c r="E216" s="35"/>
      <c r="F216" s="35"/>
      <c r="G216" s="35"/>
      <c r="H216" s="3"/>
      <c r="I216" s="3"/>
      <c r="J216" s="3"/>
      <c r="K216" s="3"/>
      <c r="L216" s="67" t="str">
        <f>VLOOKUP(MAX(M14:M18),$M$14:$P$26,4,FALSE)</f>
        <v>CĐ1</v>
      </c>
      <c r="M216" s="67" t="str">
        <f>VLOOKUP(MAX(N14:N18),$N$14:$P$26,3,FALSE)</f>
        <v>CĐ1</v>
      </c>
      <c r="N216" s="67" t="str">
        <f>VLOOKUP(MAX(O14:O18),$O$14:$P$26,2,FALSE)</f>
        <v>CĐ1</v>
      </c>
      <c r="O216" s="27" t="str">
        <f>_xlfn.IFS(L216=N216,L216,L216=M216,L216,M216=N216,N216)</f>
        <v>CĐ1</v>
      </c>
      <c r="P216" s="3" t="s">
        <v>277</v>
      </c>
      <c r="Q216" s="3">
        <v>0.8</v>
      </c>
    </row>
    <row r="217" spans="1:17" ht="15.75">
      <c r="A217" s="28" t="s">
        <v>278</v>
      </c>
      <c r="B217" s="3" t="s">
        <v>279</v>
      </c>
      <c r="D217" s="3"/>
      <c r="E217" s="28">
        <v>0.9</v>
      </c>
      <c r="F217" s="28" t="s">
        <v>142</v>
      </c>
      <c r="G217" s="3" t="s">
        <v>217</v>
      </c>
      <c r="H217" s="3"/>
      <c r="J217" s="54">
        <f>VLOOKUP(O216,B14:J26,9,FALSE)</f>
        <v>11576.54250944894</v>
      </c>
      <c r="K217" s="28" t="s">
        <v>30</v>
      </c>
      <c r="P217" s="3" t="s">
        <v>280</v>
      </c>
      <c r="Q217" s="3">
        <v>0.65</v>
      </c>
    </row>
    <row r="218" spans="1:17" ht="15.75">
      <c r="A218" s="28" t="s">
        <v>281</v>
      </c>
      <c r="B218" s="3" t="s">
        <v>282</v>
      </c>
      <c r="C218" s="3"/>
      <c r="E218" s="28">
        <v>0.9</v>
      </c>
      <c r="F218" s="28" t="s">
        <v>223</v>
      </c>
      <c r="G218" s="3" t="s">
        <v>224</v>
      </c>
      <c r="H218" s="3"/>
      <c r="J218" s="54">
        <f>VLOOKUP(O216,B14:J26,7,FALSE)</f>
        <v>5499.610427792315</v>
      </c>
      <c r="K218" s="28" t="s">
        <v>29</v>
      </c>
      <c r="P218" s="3" t="s">
        <v>283</v>
      </c>
      <c r="Q218" s="3">
        <v>1</v>
      </c>
    </row>
    <row r="219" spans="1:17" ht="15.75">
      <c r="A219" s="28" t="s">
        <v>284</v>
      </c>
      <c r="B219" s="3" t="s">
        <v>285</v>
      </c>
      <c r="C219" s="3"/>
      <c r="E219" s="28">
        <v>0.75</v>
      </c>
      <c r="F219" s="28" t="s">
        <v>220</v>
      </c>
      <c r="G219" s="3" t="s">
        <v>227</v>
      </c>
      <c r="H219" s="3"/>
      <c r="J219" s="54">
        <f>VLOOKUP(O216,B14:J26,5,FALSE)</f>
        <v>2922.4936919440006</v>
      </c>
      <c r="K219" s="28" t="s">
        <v>228</v>
      </c>
      <c r="P219" s="3" t="s">
        <v>286</v>
      </c>
      <c r="Q219" s="3">
        <v>1</v>
      </c>
    </row>
    <row r="220" spans="1:17">
      <c r="A220" s="28" t="s">
        <v>287</v>
      </c>
      <c r="B220" s="28">
        <f>(E36+E37)*fy/10^3</f>
        <v>15343.53852013255</v>
      </c>
      <c r="C220" s="28" t="s">
        <v>29</v>
      </c>
      <c r="D220" s="28" t="s">
        <v>288</v>
      </c>
      <c r="E220" s="28">
        <f>ABS(J198)/(E201*10^-3*E218)+0.5*J199/E219+((J200/E217)-0.5*J206)*_xlfn.COT(RADIANS(J202))</f>
        <v>15208.942885219791</v>
      </c>
      <c r="F220" s="28" t="s">
        <v>29</v>
      </c>
      <c r="G220" s="2" t="s">
        <v>289</v>
      </c>
      <c r="K220" s="28" t="str">
        <f>IF(B220&gt;E220,"ok","ngu")</f>
        <v>ok</v>
      </c>
    </row>
    <row r="221" spans="1:17">
      <c r="A221" s="57" t="s">
        <v>290</v>
      </c>
      <c r="E221" s="28"/>
      <c r="G221" s="28"/>
      <c r="H221" s="3"/>
      <c r="I221" s="4"/>
      <c r="J221" s="4"/>
      <c r="K221" s="28"/>
      <c r="L221" s="2" t="s">
        <v>291</v>
      </c>
    </row>
    <row r="222" spans="1:17" ht="12.75" customHeight="1">
      <c r="A222" s="35" t="s">
        <v>292</v>
      </c>
      <c r="B222" s="35"/>
      <c r="C222" s="35"/>
      <c r="D222" s="35"/>
      <c r="E222" s="35"/>
      <c r="F222" s="36"/>
      <c r="H222" s="35" t="s">
        <v>293</v>
      </c>
      <c r="I222" s="35"/>
    </row>
    <row r="223" spans="1:17" ht="13.5" customHeight="1">
      <c r="A223" s="35"/>
      <c r="B223" s="35"/>
      <c r="C223" s="35"/>
      <c r="D223" s="35"/>
      <c r="E223" s="35"/>
      <c r="F223" s="36"/>
      <c r="G223" s="36"/>
      <c r="H223" s="35"/>
      <c r="I223" s="35"/>
      <c r="J223" s="3"/>
      <c r="K223" s="28"/>
    </row>
    <row r="224" spans="1:17" ht="15.75">
      <c r="A224" s="28" t="s">
        <v>142</v>
      </c>
      <c r="B224" s="3" t="s">
        <v>294</v>
      </c>
      <c r="D224" s="54">
        <f>MAX(J21:J24)</f>
        <v>8741.0529314389169</v>
      </c>
      <c r="E224" s="28" t="s">
        <v>30</v>
      </c>
      <c r="F224" s="28" t="s">
        <v>295</v>
      </c>
      <c r="G224" s="35" t="s">
        <v>296</v>
      </c>
      <c r="H224" s="35"/>
      <c r="I224" s="35"/>
      <c r="J224" s="54">
        <f>D224*10^6/(E37*L199)</f>
        <v>284.41237100975803</v>
      </c>
      <c r="K224" s="28" t="s">
        <v>4</v>
      </c>
    </row>
    <row r="225" spans="1:11" ht="15.75" customHeight="1">
      <c r="A225" s="28" t="s">
        <v>297</v>
      </c>
      <c r="B225" s="2" t="s">
        <v>298</v>
      </c>
      <c r="C225" s="75"/>
      <c r="D225" s="69">
        <v>0.75</v>
      </c>
      <c r="G225" s="35"/>
      <c r="H225" s="35"/>
      <c r="I225" s="35"/>
    </row>
    <row r="226" spans="1:11">
      <c r="A226" s="28" t="s">
        <v>299</v>
      </c>
      <c r="B226" s="75"/>
      <c r="C226" s="75"/>
      <c r="D226" s="75">
        <f>1+E30/(0.7*(E28-E30))</f>
        <v>1.087463556851312</v>
      </c>
      <c r="F226" s="27" t="s">
        <v>242</v>
      </c>
      <c r="G226" s="2" t="s">
        <v>300</v>
      </c>
      <c r="J226" s="54">
        <v>150</v>
      </c>
      <c r="K226" s="28" t="s">
        <v>55</v>
      </c>
    </row>
    <row r="227" spans="1:11">
      <c r="A227" s="3" t="s">
        <v>301</v>
      </c>
      <c r="D227" s="28" t="str">
        <f>IF(J224&lt;fy*0.6,"ok","ngu")</f>
        <v>ngu</v>
      </c>
      <c r="F227" s="28" t="s">
        <v>288</v>
      </c>
      <c r="G227" s="54">
        <f>((123000*D225)/(D226*J224))-2*E31</f>
        <v>148.26560867675164</v>
      </c>
      <c r="H227" s="28" t="s">
        <v>55</v>
      </c>
      <c r="I227" s="2" t="s">
        <v>302</v>
      </c>
      <c r="K227" s="28" t="str">
        <f>IF(G227&gt;J226,"ok","ngu")</f>
        <v>ngu</v>
      </c>
    </row>
    <row r="232" spans="1:11">
      <c r="A232" s="3"/>
      <c r="B232" s="4"/>
      <c r="C232" s="4"/>
      <c r="D232" s="4"/>
      <c r="E232" s="28"/>
      <c r="F232" s="65"/>
      <c r="G232" s="4"/>
      <c r="H232" s="4"/>
      <c r="I232" s="4"/>
      <c r="J232" s="4"/>
      <c r="K232" s="4"/>
    </row>
    <row r="233" spans="1:11">
      <c r="A233" s="3"/>
      <c r="H233" s="4"/>
      <c r="I233" s="4"/>
      <c r="J233" s="4"/>
      <c r="K233" s="4"/>
    </row>
    <row r="234" spans="1:11">
      <c r="A234" s="3"/>
      <c r="H234" s="4"/>
      <c r="I234" s="4"/>
      <c r="J234" s="4"/>
      <c r="K234" s="4"/>
    </row>
    <row r="235" spans="1:11">
      <c r="A235" s="3"/>
      <c r="H235" s="4"/>
      <c r="I235" s="4"/>
      <c r="J235" s="4"/>
      <c r="K235" s="4"/>
    </row>
    <row r="236" spans="1:11">
      <c r="A236" s="3"/>
      <c r="H236" s="4"/>
      <c r="I236" s="4"/>
      <c r="J236" s="4"/>
      <c r="K236" s="4"/>
    </row>
    <row r="237" spans="1:11">
      <c r="A237" s="3"/>
      <c r="B237" s="4"/>
      <c r="C237" s="4"/>
      <c r="D237" s="4"/>
      <c r="E237" s="28"/>
      <c r="F237" s="65"/>
      <c r="G237" s="4"/>
      <c r="H237" s="4"/>
      <c r="I237" s="4"/>
      <c r="J237" s="4"/>
      <c r="K237" s="4"/>
    </row>
    <row r="238" spans="1:11">
      <c r="A238" s="3"/>
      <c r="B238" s="4"/>
      <c r="C238" s="4"/>
      <c r="D238" s="4"/>
      <c r="E238" s="28"/>
      <c r="F238" s="65"/>
      <c r="G238" s="4"/>
      <c r="H238" s="4"/>
      <c r="I238" s="4"/>
      <c r="J238" s="4"/>
      <c r="K238" s="4"/>
    </row>
    <row r="239" spans="1:11">
      <c r="A239" s="3"/>
      <c r="B239" s="4"/>
      <c r="C239" s="4"/>
      <c r="D239" s="4"/>
      <c r="E239" s="28"/>
      <c r="F239" s="65"/>
      <c r="G239" s="4"/>
      <c r="H239" s="4"/>
      <c r="I239" s="4"/>
      <c r="J239" s="4"/>
      <c r="K239" s="4"/>
    </row>
    <row r="240" spans="1:11">
      <c r="A240" s="3"/>
      <c r="B240" s="4"/>
      <c r="C240" s="4"/>
      <c r="D240" s="4"/>
      <c r="E240" s="28"/>
      <c r="F240" s="65"/>
      <c r="G240" s="4"/>
      <c r="H240" s="4"/>
      <c r="I240" s="4"/>
      <c r="J240" s="4"/>
      <c r="K240" s="4"/>
    </row>
    <row r="241" spans="1:11">
      <c r="A241" s="3"/>
      <c r="B241" s="4"/>
      <c r="C241" s="4"/>
      <c r="D241" s="4"/>
      <c r="E241" s="28"/>
      <c r="F241" s="65"/>
      <c r="G241" s="4"/>
      <c r="H241" s="4"/>
      <c r="I241" s="4"/>
      <c r="J241" s="4"/>
      <c r="K241" s="4"/>
    </row>
    <row r="242" spans="1:11">
      <c r="A242" s="3"/>
      <c r="B242" s="4"/>
      <c r="C242" s="4"/>
      <c r="D242" s="4"/>
      <c r="E242" s="28"/>
      <c r="F242" s="65"/>
      <c r="G242" s="4"/>
      <c r="H242" s="4"/>
      <c r="I242" s="4"/>
      <c r="J242" s="4"/>
      <c r="K242" s="4"/>
    </row>
    <row r="243" spans="1:11">
      <c r="A243" s="3"/>
      <c r="B243" s="4"/>
      <c r="C243" s="4"/>
      <c r="D243" s="4"/>
      <c r="E243" s="28"/>
      <c r="F243" s="65"/>
      <c r="G243" s="4"/>
      <c r="H243" s="4"/>
      <c r="I243" s="4"/>
      <c r="J243" s="4"/>
      <c r="K243" s="4"/>
    </row>
    <row r="244" spans="1:11">
      <c r="A244" s="3"/>
      <c r="B244" s="4"/>
      <c r="C244" s="4"/>
      <c r="D244" s="4"/>
      <c r="E244" s="28"/>
      <c r="F244" s="65"/>
      <c r="G244" s="4"/>
      <c r="H244" s="4"/>
      <c r="I244" s="4"/>
      <c r="J244" s="4"/>
      <c r="K244" s="4"/>
    </row>
    <row r="245" spans="1:11">
      <c r="A245" s="3"/>
      <c r="B245" s="4"/>
      <c r="C245" s="4"/>
      <c r="D245" s="4"/>
      <c r="E245" s="28"/>
      <c r="F245" s="65"/>
      <c r="G245" s="4"/>
      <c r="H245" s="4"/>
      <c r="I245" s="4"/>
      <c r="J245" s="4"/>
      <c r="K245" s="4"/>
    </row>
    <row r="246" spans="1:11">
      <c r="A246" s="3"/>
      <c r="B246" s="4"/>
      <c r="C246" s="4"/>
      <c r="D246" s="4"/>
      <c r="E246" s="28"/>
      <c r="F246" s="65"/>
      <c r="G246" s="4"/>
      <c r="H246" s="4"/>
      <c r="I246" s="4"/>
      <c r="J246" s="4"/>
      <c r="K246" s="4"/>
    </row>
    <row r="247" spans="1:11">
      <c r="A247" s="3"/>
      <c r="B247" s="4"/>
      <c r="C247" s="4"/>
      <c r="D247" s="4"/>
      <c r="E247" s="28"/>
      <c r="F247" s="65"/>
      <c r="G247" s="4"/>
      <c r="H247" s="4"/>
      <c r="I247" s="4"/>
      <c r="J247" s="4"/>
      <c r="K247" s="4"/>
    </row>
    <row r="248" spans="1:11">
      <c r="A248" s="3"/>
      <c r="B248" s="4"/>
      <c r="C248" s="4"/>
      <c r="D248" s="4"/>
      <c r="E248" s="28"/>
      <c r="F248" s="65"/>
      <c r="G248" s="4"/>
      <c r="H248" s="4"/>
      <c r="I248" s="4"/>
      <c r="J248" s="4"/>
      <c r="K248" s="4"/>
    </row>
    <row r="249" spans="1:11">
      <c r="A249" s="3"/>
      <c r="B249" s="4"/>
      <c r="C249" s="4"/>
      <c r="D249" s="4"/>
      <c r="E249" s="28"/>
      <c r="F249" s="65"/>
      <c r="G249" s="4"/>
      <c r="H249" s="4"/>
      <c r="I249" s="4"/>
      <c r="J249" s="4"/>
      <c r="K249" s="4"/>
    </row>
    <row r="250" spans="1:11">
      <c r="A250" s="3"/>
      <c r="B250" s="4"/>
      <c r="C250" s="4"/>
      <c r="D250" s="4"/>
      <c r="E250" s="28"/>
      <c r="F250" s="65"/>
      <c r="G250" s="4"/>
      <c r="H250" s="4"/>
      <c r="I250" s="4"/>
      <c r="J250" s="4"/>
      <c r="K250" s="4"/>
    </row>
    <row r="263" spans="12:12">
      <c r="L263" s="65"/>
    </row>
    <row r="264" spans="12:12">
      <c r="L264" s="65"/>
    </row>
    <row r="265" spans="12:12">
      <c r="L265" s="65"/>
    </row>
    <row r="266" spans="12:12">
      <c r="L266" s="3"/>
    </row>
    <row r="267" spans="12:12">
      <c r="L267" s="3"/>
    </row>
  </sheetData>
  <mergeCells count="83">
    <mergeCell ref="A222:E223"/>
    <mergeCell ref="H222:I223"/>
    <mergeCell ref="G224:I225"/>
    <mergeCell ref="A210:D211"/>
    <mergeCell ref="L212:M212"/>
    <mergeCell ref="N212:O212"/>
    <mergeCell ref="P212:Q212"/>
    <mergeCell ref="A213:G214"/>
    <mergeCell ref="A215:G216"/>
    <mergeCell ref="P180:R180"/>
    <mergeCell ref="L182:L184"/>
    <mergeCell ref="M182:M184"/>
    <mergeCell ref="N182:N184"/>
    <mergeCell ref="O182:O184"/>
    <mergeCell ref="P182:P184"/>
    <mergeCell ref="Q182:Q184"/>
    <mergeCell ref="R182:R184"/>
    <mergeCell ref="A102:F102"/>
    <mergeCell ref="H102:K102"/>
    <mergeCell ref="H127:K127"/>
    <mergeCell ref="A177:K178"/>
    <mergeCell ref="L180:M180"/>
    <mergeCell ref="N180:O180"/>
    <mergeCell ref="B81:C81"/>
    <mergeCell ref="D81:E81"/>
    <mergeCell ref="F81:G81"/>
    <mergeCell ref="H81:I81"/>
    <mergeCell ref="J81:K81"/>
    <mergeCell ref="B82:C82"/>
    <mergeCell ref="D82:E82"/>
    <mergeCell ref="F82:G82"/>
    <mergeCell ref="H82:I82"/>
    <mergeCell ref="J82:K82"/>
    <mergeCell ref="I76:J76"/>
    <mergeCell ref="I77:J77"/>
    <mergeCell ref="I78:J78"/>
    <mergeCell ref="B80:C80"/>
    <mergeCell ref="D80:E80"/>
    <mergeCell ref="F80:G80"/>
    <mergeCell ref="H80:I80"/>
    <mergeCell ref="J80:K80"/>
    <mergeCell ref="I66:J66"/>
    <mergeCell ref="I69:J69"/>
    <mergeCell ref="I70:J70"/>
    <mergeCell ref="I71:J71"/>
    <mergeCell ref="I72:J72"/>
    <mergeCell ref="I75:J75"/>
    <mergeCell ref="I48:J48"/>
    <mergeCell ref="C50:D50"/>
    <mergeCell ref="H58:I61"/>
    <mergeCell ref="I63:J63"/>
    <mergeCell ref="I64:J64"/>
    <mergeCell ref="I65:J65"/>
    <mergeCell ref="B43:C43"/>
    <mergeCell ref="B44:C44"/>
    <mergeCell ref="I45:J45"/>
    <mergeCell ref="I46:J46"/>
    <mergeCell ref="I47:J47"/>
    <mergeCell ref="M47:N47"/>
    <mergeCell ref="B22:E22"/>
    <mergeCell ref="B23:E23"/>
    <mergeCell ref="B24:E24"/>
    <mergeCell ref="B25:E25"/>
    <mergeCell ref="B26:E26"/>
    <mergeCell ref="C41:D41"/>
    <mergeCell ref="B16:E16"/>
    <mergeCell ref="B17:E17"/>
    <mergeCell ref="B18:E18"/>
    <mergeCell ref="B19:E19"/>
    <mergeCell ref="B20:E20"/>
    <mergeCell ref="B21:E21"/>
    <mergeCell ref="I9:J9"/>
    <mergeCell ref="I10:J10"/>
    <mergeCell ref="A12:A13"/>
    <mergeCell ref="B12:E13"/>
    <mergeCell ref="B14:E14"/>
    <mergeCell ref="B15:E15"/>
    <mergeCell ref="I3:J3"/>
    <mergeCell ref="I4:J4"/>
    <mergeCell ref="I5:J5"/>
    <mergeCell ref="I6:J6"/>
    <mergeCell ref="I7:J7"/>
    <mergeCell ref="I8:J8"/>
  </mergeCells>
  <dataValidations count="3">
    <dataValidation type="list" allowBlank="1" showInputMessage="1" showErrorMessage="1" sqref="C50:D50" xr:uid="{83003253-5314-4167-B39A-9D55E3B8E8BE}">
      <formula1>"Mặt cắt chữ nhật,Mặt cắt chữ T"</formula1>
    </dataValidation>
    <dataValidation type="list" allowBlank="1" showInputMessage="1" showErrorMessage="1" sqref="D225" xr:uid="{1365D89E-5B24-4519-948A-2B568CB1C4E7}">
      <formula1>"1,0.75"</formula1>
    </dataValidation>
    <dataValidation type="list" allowBlank="1" showInputMessage="1" showErrorMessage="1" sqref="C41" xr:uid="{9DA46C81-A93C-467C-882D-A5CCF2163B8D}">
      <formula1>"Cốt đai xoắn,Cốt đai thường"</formula1>
    </dataValidation>
  </dataValidations>
  <printOptions horizontalCentered="1"/>
  <pageMargins left="0.7" right="0.7" top="0.75" bottom="0.75" header="0.3" footer="0.3"/>
  <pageSetup paperSize="8" scale="36"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Kiểm toán tường thân</vt:lpstr>
      <vt:lpstr>Sheet1</vt:lpstr>
      <vt:lpstr>'Kiểm toán tường thân'!fc</vt:lpstr>
      <vt:lpstr>'Kiểm toán tường thân'!fy</vt:lpstr>
      <vt:lpstr>'Kiểm toán tường thân'!Print_Area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vinh chuot</dc:creator>
  <cp:lastModifiedBy>Vinh chuot</cp:lastModifiedBy>
  <dcterms:created xsi:type="dcterms:W3CDTF">2015-06-05T18:17:20Z</dcterms:created>
  <dcterms:modified xsi:type="dcterms:W3CDTF">2024-05-03T02:35:08Z</dcterms:modified>
</cp:coreProperties>
</file>