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D:\NGOC\NĂM 2018\THANG 07\PRODUCTION\"/>
    </mc:Choice>
  </mc:AlternateContent>
  <xr:revisionPtr revIDLastSave="0" documentId="13_ncr:1_{25F9E79C-580D-4D3F-B590-9B24D5A51F4F}" xr6:coauthVersionLast="34" xr6:coauthVersionMax="34" xr10:uidLastSave="{00000000-0000-0000-0000-000000000000}"/>
  <bookViews>
    <workbookView xWindow="0" yWindow="540" windowWidth="20490" windowHeight="8505" tabRatio="907" firstSheet="3" activeTab="3" xr2:uid="{00000000-000D-0000-FFFF-FFFF00000000}"/>
  </bookViews>
  <sheets>
    <sheet name="shipping 3" sheetId="10" state="hidden" r:id="rId1"/>
    <sheet name="shipping 1" sheetId="3" state="hidden" r:id="rId2"/>
    <sheet name="shipping 2" sheetId="7" state="hidden" r:id="rId3"/>
    <sheet name="THANG 6" sheetId="20" r:id="rId4"/>
    <sheet name="xuat thieu  " sheetId="5" state="hidden" r:id="rId5"/>
    <sheet name="xuat du" sheetId="9" state="hidden" r:id="rId6"/>
  </sheets>
  <definedNames>
    <definedName name="_xlnm._FilterDatabase" localSheetId="0" hidden="1">'shipping 3'!$A$2:$E$24</definedName>
    <definedName name="_xlnm._FilterDatabase" localSheetId="3" hidden="1">'THANG 6'!$A$4:$I$141</definedName>
    <definedName name="_xlnm._FilterDatabase" localSheetId="4" hidden="1">'xuat thieu  '!$A$2:$H$2</definedName>
    <definedName name="_xlnm.Print_Titles" localSheetId="5">'xuat du'!$2:$2</definedName>
    <definedName name="_xlnm.Print_Titles" localSheetId="4">'xuat thieu  '!$2:$2</definedName>
  </definedNames>
  <calcPr calcId="17901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0" l="1"/>
  <c r="C122" i="20" l="1"/>
  <c r="F122" i="20" s="1"/>
  <c r="C120" i="20"/>
  <c r="G117" i="20"/>
  <c r="C119" i="20"/>
  <c r="C128" i="20"/>
  <c r="C127" i="20"/>
  <c r="C125" i="20"/>
  <c r="C138" i="20" l="1"/>
  <c r="C133" i="20"/>
  <c r="C132" i="20"/>
  <c r="C131" i="20"/>
  <c r="G137" i="20"/>
  <c r="C137" i="20"/>
  <c r="C135" i="20"/>
  <c r="C130" i="20"/>
  <c r="C65" i="20" l="1"/>
  <c r="C63" i="20"/>
  <c r="C60" i="20"/>
  <c r="C59" i="20"/>
  <c r="G81" i="20" l="1"/>
  <c r="G75" i="20"/>
  <c r="C75" i="20"/>
  <c r="G66" i="20"/>
  <c r="C88" i="20"/>
  <c r="C111" i="20"/>
  <c r="C110" i="20"/>
  <c r="F112" i="20"/>
  <c r="F113" i="20"/>
  <c r="F114" i="20"/>
  <c r="F115" i="20"/>
  <c r="C107" i="20"/>
  <c r="C92" i="20"/>
  <c r="C90" i="20"/>
  <c r="C91" i="20" l="1"/>
  <c r="G71" i="20"/>
  <c r="C71" i="20"/>
  <c r="G86" i="20"/>
  <c r="C86" i="20"/>
  <c r="C85" i="20"/>
  <c r="C82" i="20"/>
  <c r="C72" i="20"/>
  <c r="C73" i="20"/>
  <c r="G69" i="20"/>
  <c r="C69" i="20"/>
  <c r="G70" i="20"/>
  <c r="C70" i="20"/>
  <c r="C68" i="20"/>
  <c r="G80" i="20"/>
  <c r="C84" i="20"/>
  <c r="C83" i="20"/>
  <c r="H83" i="20"/>
  <c r="C89" i="20"/>
  <c r="C93" i="20"/>
  <c r="G79" i="20"/>
  <c r="G87" i="20"/>
  <c r="C87" i="20"/>
  <c r="C101" i="20"/>
  <c r="C98" i="20"/>
  <c r="C94" i="20"/>
  <c r="C55" i="20" l="1"/>
  <c r="C54" i="20"/>
  <c r="C6" i="20"/>
  <c r="C46" i="20"/>
  <c r="C53" i="20"/>
  <c r="C8" i="20"/>
  <c r="C35" i="20"/>
  <c r="C7" i="20"/>
  <c r="G44" i="20"/>
  <c r="C44" i="20"/>
  <c r="C38" i="20"/>
  <c r="C33" i="20"/>
  <c r="C39" i="20"/>
  <c r="C45" i="20"/>
  <c r="C40" i="20"/>
  <c r="C51" i="20"/>
  <c r="C49" i="20"/>
  <c r="C28" i="20"/>
  <c r="C5" i="20"/>
  <c r="C31" i="20"/>
  <c r="C23" i="20"/>
  <c r="C25" i="20"/>
  <c r="C43" i="20"/>
  <c r="C29" i="20"/>
  <c r="C24" i="20"/>
  <c r="C13" i="20"/>
  <c r="C11" i="20"/>
  <c r="C15" i="20" l="1"/>
  <c r="F116" i="20"/>
  <c r="F117" i="20"/>
  <c r="E119" i="20"/>
  <c r="E89" i="20"/>
  <c r="G78" i="20" l="1"/>
  <c r="G129" i="20"/>
  <c r="F129" i="20" s="1"/>
  <c r="C141" i="20"/>
  <c r="D141" i="20"/>
  <c r="I141" i="20"/>
  <c r="B141" i="20"/>
  <c r="F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8" i="20"/>
  <c r="F69" i="20"/>
  <c r="F70" i="20"/>
  <c r="F71" i="20"/>
  <c r="F72" i="20"/>
  <c r="F73" i="20"/>
  <c r="F75" i="20"/>
  <c r="F76" i="20"/>
  <c r="F78" i="20"/>
  <c r="F79" i="20"/>
  <c r="F80" i="20"/>
  <c r="F81" i="20"/>
  <c r="F82" i="20"/>
  <c r="F84" i="20"/>
  <c r="F85" i="20"/>
  <c r="F86" i="20"/>
  <c r="F87" i="20"/>
  <c r="F88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8" i="20"/>
  <c r="F119" i="20"/>
  <c r="F120" i="20"/>
  <c r="F121" i="20"/>
  <c r="F123" i="20"/>
  <c r="F124" i="20"/>
  <c r="F126" i="20"/>
  <c r="F127" i="20"/>
  <c r="F128" i="20"/>
  <c r="F130" i="20"/>
  <c r="F131" i="20"/>
  <c r="F132" i="20"/>
  <c r="F133" i="20"/>
  <c r="F134" i="20"/>
  <c r="F135" i="20"/>
  <c r="F136" i="20"/>
  <c r="F137" i="20"/>
  <c r="F138" i="20"/>
  <c r="F139" i="20"/>
  <c r="F140" i="20"/>
  <c r="G141" i="20" l="1"/>
  <c r="H89" i="20"/>
  <c r="F89" i="20" s="1"/>
  <c r="F83" i="20"/>
  <c r="H77" i="20" l="1"/>
  <c r="H74" i="20"/>
  <c r="H141" i="20" l="1"/>
  <c r="F74" i="20"/>
  <c r="E125" i="20" l="1"/>
  <c r="F125" i="20" s="1"/>
  <c r="E77" i="20"/>
  <c r="F77" i="20" s="1"/>
  <c r="E43" i="20"/>
  <c r="F43" i="20" l="1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0" i="9"/>
  <c r="H61" i="9"/>
  <c r="H62" i="9"/>
  <c r="F39" i="5"/>
  <c r="E39" i="5"/>
  <c r="H32" i="5"/>
  <c r="H33" i="5"/>
  <c r="H34" i="5"/>
  <c r="H35" i="5"/>
  <c r="H36" i="5"/>
  <c r="H37" i="5"/>
  <c r="H38" i="5"/>
  <c r="H40" i="5"/>
  <c r="H41" i="5"/>
  <c r="H42" i="5"/>
  <c r="H43" i="5"/>
  <c r="H53" i="9"/>
  <c r="H54" i="9"/>
  <c r="H55" i="9"/>
  <c r="H56" i="9"/>
  <c r="H57" i="9"/>
  <c r="H58" i="9"/>
  <c r="H59" i="9"/>
  <c r="H39" i="5" l="1"/>
  <c r="E67" i="20"/>
  <c r="F5" i="20"/>
  <c r="I3" i="20"/>
  <c r="H3" i="20"/>
  <c r="D3" i="20"/>
  <c r="B3" i="20"/>
  <c r="F67" i="20" l="1"/>
  <c r="F141" i="20" s="1"/>
  <c r="E141" i="20"/>
  <c r="E3" i="20"/>
  <c r="F3" i="20"/>
  <c r="C3" i="20"/>
  <c r="G3" i="20"/>
  <c r="Q4" i="10" l="1"/>
  <c r="Q5" i="10"/>
  <c r="Q6" i="10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3" i="10"/>
  <c r="Q24" i="10" s="1"/>
  <c r="K24" i="10"/>
  <c r="L24" i="10"/>
  <c r="M24" i="10"/>
  <c r="N24" i="10"/>
  <c r="O24" i="10"/>
  <c r="P24" i="10"/>
  <c r="J24" i="10"/>
  <c r="H14" i="5" l="1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52" i="9"/>
  <c r="H48" i="9"/>
  <c r="H49" i="9"/>
  <c r="H50" i="9"/>
  <c r="H51" i="9"/>
  <c r="H47" i="9"/>
  <c r="H46" i="9"/>
  <c r="H45" i="9"/>
  <c r="H42" i="9"/>
  <c r="H43" i="9"/>
  <c r="H44" i="9"/>
  <c r="H40" i="9"/>
  <c r="H41" i="9"/>
  <c r="H39" i="9"/>
  <c r="H32" i="9" l="1"/>
  <c r="H33" i="9"/>
  <c r="H38" i="9"/>
  <c r="H34" i="9"/>
  <c r="H37" i="9"/>
  <c r="H31" i="9"/>
  <c r="H24" i="9"/>
  <c r="H25" i="9"/>
  <c r="H26" i="9"/>
  <c r="H35" i="9"/>
  <c r="H36" i="9"/>
  <c r="H27" i="9"/>
  <c r="H28" i="9"/>
  <c r="H29" i="9"/>
  <c r="H30" i="9"/>
  <c r="H12" i="5"/>
  <c r="H13" i="5"/>
  <c r="H11" i="5"/>
  <c r="H10" i="5"/>
  <c r="H12" i="9"/>
  <c r="H21" i="9"/>
  <c r="H19" i="9"/>
  <c r="H15" i="9"/>
  <c r="H14" i="9"/>
  <c r="H4" i="9"/>
  <c r="H11" i="9"/>
  <c r="H23" i="9"/>
  <c r="H9" i="9"/>
  <c r="H10" i="9"/>
  <c r="H5" i="9"/>
  <c r="H8" i="9"/>
  <c r="H16" i="9"/>
  <c r="H13" i="9"/>
  <c r="H17" i="9"/>
  <c r="H7" i="9"/>
  <c r="H3" i="9"/>
  <c r="H6" i="9"/>
  <c r="G18" i="9"/>
  <c r="H18" i="9"/>
  <c r="G20" i="9"/>
  <c r="H20" i="9"/>
  <c r="G22" i="9"/>
  <c r="H22" i="9"/>
  <c r="H9" i="5"/>
  <c r="H5" i="5"/>
  <c r="H6" i="5"/>
  <c r="H7" i="5"/>
  <c r="H8" i="5"/>
  <c r="H4" i="5"/>
  <c r="H3" i="5"/>
  <c r="C61" i="3" l="1"/>
  <c r="M25" i="3"/>
  <c r="L25" i="3"/>
  <c r="K25" i="3"/>
  <c r="J25" i="3"/>
  <c r="I25" i="3"/>
  <c r="H25" i="3"/>
  <c r="G25" i="3"/>
  <c r="N24" i="3"/>
  <c r="N23" i="3"/>
  <c r="N22" i="3"/>
  <c r="N13" i="3"/>
  <c r="N8" i="3"/>
  <c r="N20" i="3"/>
  <c r="N16" i="3"/>
  <c r="N6" i="3"/>
  <c r="N21" i="3"/>
  <c r="N19" i="3"/>
  <c r="N18" i="3"/>
  <c r="N17" i="3"/>
  <c r="N15" i="3"/>
  <c r="N14" i="3"/>
  <c r="N12" i="3"/>
  <c r="N11" i="3"/>
  <c r="N10" i="3"/>
  <c r="N9" i="3"/>
  <c r="N7" i="3"/>
  <c r="N5" i="3"/>
  <c r="N4" i="3"/>
  <c r="N3" i="3"/>
  <c r="N2" i="3"/>
  <c r="N25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D58" authorId="0" shapeId="0" xr:uid="{00000000-0006-0000-0E00-000001000000}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chuyển 123 cái của 6D398 sang 6D398(2)</t>
        </r>
      </text>
    </comment>
    <comment ref="D118" authorId="0" shapeId="0" xr:uid="{00000000-0006-0000-0E00-000002000000}">
      <text>
        <r>
          <rPr>
            <b/>
            <sz val="9"/>
            <color indexed="81"/>
            <rFont val="Tahoma"/>
            <charset val="1"/>
          </rPr>
          <t>Windows User:</t>
        </r>
        <r>
          <rPr>
            <sz val="9"/>
            <color indexed="81"/>
            <rFont val="Tahoma"/>
            <charset val="1"/>
          </rPr>
          <t xml:space="preserve">
TRẢ CHUYỀN
</t>
        </r>
      </text>
    </comment>
  </commentList>
</comments>
</file>

<file path=xl/sharedStrings.xml><?xml version="1.0" encoding="utf-8"?>
<sst xmlns="http://schemas.openxmlformats.org/spreadsheetml/2006/main" count="741" uniqueCount="269">
  <si>
    <t>TO</t>
  </si>
  <si>
    <t>BALANCE</t>
  </si>
  <si>
    <t>ALFANI</t>
  </si>
  <si>
    <t>INC</t>
  </si>
  <si>
    <t>J-JILL</t>
  </si>
  <si>
    <t>KPT001611</t>
  </si>
  <si>
    <t>KPT128561</t>
  </si>
  <si>
    <t>TBS</t>
  </si>
  <si>
    <t>NODSTROM</t>
  </si>
  <si>
    <t>CN380880MI</t>
  </si>
  <si>
    <t>SAIGON CFS</t>
  </si>
  <si>
    <t>ANTAYLOR</t>
  </si>
  <si>
    <t>TCS</t>
  </si>
  <si>
    <t>ICD TANAMEXCO</t>
  </si>
  <si>
    <t>KOREA - SHIP AIR</t>
  </si>
  <si>
    <t>CAI MEP</t>
  </si>
  <si>
    <t>KPT128571</t>
  </si>
  <si>
    <t>KPT101081</t>
  </si>
  <si>
    <t>KTP115221</t>
  </si>
  <si>
    <t>7X733</t>
  </si>
  <si>
    <t>7X408</t>
  </si>
  <si>
    <t>CHARTER CLUB</t>
  </si>
  <si>
    <t>100013421R</t>
  </si>
  <si>
    <t>EILEEN FISHED</t>
  </si>
  <si>
    <t>S80S2-T2163</t>
  </si>
  <si>
    <t xml:space="preserve">BUYER </t>
  </si>
  <si>
    <t xml:space="preserve">SEASON </t>
  </si>
  <si>
    <t>GAC</t>
  </si>
  <si>
    <t>SENDING</t>
  </si>
  <si>
    <t xml:space="preserve">STYLE </t>
  </si>
  <si>
    <t>COLOR</t>
  </si>
  <si>
    <t>XS</t>
  </si>
  <si>
    <t>S</t>
  </si>
  <si>
    <t>M</t>
  </si>
  <si>
    <t>XSP</t>
  </si>
  <si>
    <t>SP</t>
  </si>
  <si>
    <t>MP</t>
  </si>
  <si>
    <t>2X</t>
  </si>
  <si>
    <t>TOTAL</t>
  </si>
  <si>
    <t xml:space="preserve">Remark </t>
  </si>
  <si>
    <t xml:space="preserve">J JILL </t>
  </si>
  <si>
    <t>SPR'18</t>
  </si>
  <si>
    <t>KPT001611-12-14</t>
  </si>
  <si>
    <t>SHADOW</t>
  </si>
  <si>
    <t>send to Korea</t>
  </si>
  <si>
    <t>BLACK</t>
  </si>
  <si>
    <t>WHITE</t>
  </si>
  <si>
    <t>DEEP BLUE</t>
  </si>
  <si>
    <t>KPT101081-82</t>
  </si>
  <si>
    <t>KTP115221-22-24</t>
  </si>
  <si>
    <t xml:space="preserve">PANSY </t>
  </si>
  <si>
    <t>ZINC HEIRL</t>
  </si>
  <si>
    <t>DELFTBLUE</t>
  </si>
  <si>
    <t>KPT128561-62-64</t>
  </si>
  <si>
    <t>KPT128571-72-74</t>
  </si>
  <si>
    <t>KPT128581-82-84</t>
  </si>
  <si>
    <t>send to Hong Kong</t>
  </si>
  <si>
    <t>NORDTROM</t>
  </si>
  <si>
    <t>IVORY</t>
  </si>
  <si>
    <t>NAVY</t>
  </si>
  <si>
    <t>SUM-TOTAL</t>
  </si>
  <si>
    <t>STYLE</t>
  </si>
  <si>
    <t>PS</t>
  </si>
  <si>
    <t>8P</t>
  </si>
  <si>
    <t>100011932P</t>
  </si>
  <si>
    <t>BLK BOTANCL SKT</t>
  </si>
  <si>
    <t>69216P</t>
  </si>
  <si>
    <t>LAYERED LINES</t>
  </si>
  <si>
    <t>BLK SKETCH TREL</t>
  </si>
  <si>
    <t>100008706/P</t>
  </si>
  <si>
    <t>BLK LINE ART FL</t>
  </si>
  <si>
    <t>AMZ LINE ART FL</t>
  </si>
  <si>
    <t>100008707/P</t>
  </si>
  <si>
    <t>OLV IKAT ANIMAL</t>
  </si>
  <si>
    <t>100008708/P</t>
  </si>
  <si>
    <t>OLV PALM GLOW</t>
  </si>
  <si>
    <t>100008709/P</t>
  </si>
  <si>
    <t>GRN ORGANIC TRE</t>
  </si>
  <si>
    <t>NEUT ORGANIC TR</t>
  </si>
  <si>
    <t>100008714/P</t>
  </si>
  <si>
    <t>AMZ FERN FLOURS</t>
  </si>
  <si>
    <t>BLK LAYRD LEAVE</t>
  </si>
  <si>
    <t>100016320/P</t>
  </si>
  <si>
    <t>OLV CLEAN PLAID</t>
  </si>
  <si>
    <t>AMAZON</t>
  </si>
  <si>
    <t>BLK SKIN SHADE</t>
  </si>
  <si>
    <t>DEEP BLACK</t>
  </si>
  <si>
    <t>WARM OLIVE</t>
  </si>
  <si>
    <t>MODERN BLUE</t>
  </si>
  <si>
    <t>LEAF LAYERS</t>
  </si>
  <si>
    <t>NEUT BIT DRI</t>
  </si>
  <si>
    <t>OLIVE BOT DRIP</t>
  </si>
  <si>
    <t>DPB GRPC PALMS</t>
  </si>
  <si>
    <t>DPB ART FLRL</t>
  </si>
  <si>
    <t>WOL PALM GLOW</t>
  </si>
  <si>
    <t>BLK BOT LEAVES</t>
  </si>
  <si>
    <t>GRN BOT LEAVES</t>
  </si>
  <si>
    <t>AMZ PLAID ART</t>
  </si>
  <si>
    <t xml:space="preserve">BW HNDSTOOTH </t>
  </si>
  <si>
    <t>DPB BOLD BARS</t>
  </si>
  <si>
    <t>MÃ HÀNG</t>
  </si>
  <si>
    <t>TỒN ĐẦU KỲ</t>
  </si>
  <si>
    <t>HÀNG NHẬP</t>
  </si>
  <si>
    <t>TRẢ CHUYỀN</t>
  </si>
  <si>
    <t>HÀNG XUẤT</t>
  </si>
  <si>
    <t>TỒN CUỐI KỲ</t>
  </si>
  <si>
    <t>X.KHO H.TỒN</t>
  </si>
  <si>
    <t>SHIPPING</t>
  </si>
  <si>
    <t>CHO KH</t>
  </si>
  <si>
    <t>TALBOTS</t>
  </si>
  <si>
    <t>6D398</t>
  </si>
  <si>
    <t>74401W</t>
  </si>
  <si>
    <t>100018342</t>
  </si>
  <si>
    <t>100008730</t>
  </si>
  <si>
    <t>100003227W</t>
  </si>
  <si>
    <t>100008704P</t>
  </si>
  <si>
    <t>100008773P</t>
  </si>
  <si>
    <t>100009597W</t>
  </si>
  <si>
    <t>KPT128571-2-4</t>
  </si>
  <si>
    <t>KPT128581-2-3</t>
  </si>
  <si>
    <t>KPT001611-2-3-4</t>
  </si>
  <si>
    <t>100008749P</t>
  </si>
  <si>
    <t>100009162P</t>
  </si>
  <si>
    <t>DATE</t>
  </si>
  <si>
    <t>BUYER</t>
  </si>
  <si>
    <t>Q'TY</t>
  </si>
  <si>
    <t>ACTUAL Q'TY</t>
  </si>
  <si>
    <t>6P</t>
  </si>
  <si>
    <t>100011935/P</t>
  </si>
  <si>
    <t>BLK WHIMS FLRAL</t>
  </si>
  <si>
    <t>B/W LNEAR PATCH</t>
  </si>
  <si>
    <t>PNK LNEAR PATCH</t>
  </si>
  <si>
    <t>BLK TULIP SHADW</t>
  </si>
  <si>
    <t>10008730/P</t>
  </si>
  <si>
    <t>B/W FLORAL MOIT</t>
  </si>
  <si>
    <t>100009162/P</t>
  </si>
  <si>
    <t>BLK DVN FLORAL</t>
  </si>
  <si>
    <t>100018342/P</t>
  </si>
  <si>
    <t>BLK/PNK DET STM</t>
  </si>
  <si>
    <t>100009597/P</t>
  </si>
  <si>
    <t>SILVER PEONY</t>
  </si>
  <si>
    <t>B/W ABSTR LINES</t>
  </si>
  <si>
    <t>MODERN BERRY</t>
  </si>
  <si>
    <t>100008747/P</t>
  </si>
  <si>
    <t>7X708/P</t>
  </si>
  <si>
    <t xml:space="preserve">B/W HNDSTOOTH </t>
  </si>
  <si>
    <t>BERRY HNDSTOOTH</t>
  </si>
  <si>
    <t>100008749/P</t>
  </si>
  <si>
    <t>100017250/P</t>
  </si>
  <si>
    <t>B/W GRAPH LINES</t>
  </si>
  <si>
    <t>100008607/P</t>
  </si>
  <si>
    <t>DPB LRGE PETAL</t>
  </si>
  <si>
    <t>100008608/P</t>
  </si>
  <si>
    <t>DPB PRFCT BLOOM</t>
  </si>
  <si>
    <t>100010597W</t>
  </si>
  <si>
    <t>DPB GRDN PLCMNT</t>
  </si>
  <si>
    <t>74401/P</t>
  </si>
  <si>
    <t>PURE CINDER</t>
  </si>
  <si>
    <t>7285P</t>
  </si>
  <si>
    <t xml:space="preserve">TOTAL </t>
  </si>
  <si>
    <t>107PCS</t>
  </si>
  <si>
    <t>100008660W</t>
  </si>
  <si>
    <t>100008660</t>
  </si>
  <si>
    <t>KPT128581</t>
  </si>
  <si>
    <t>KTP121661</t>
  </si>
  <si>
    <t>CTN</t>
  </si>
  <si>
    <t xml:space="preserve">SHIPPING SAMPLE </t>
  </si>
  <si>
    <t>DPB CLIMB FLORA</t>
  </si>
  <si>
    <t>SPE AMAL FLTTR</t>
  </si>
  <si>
    <t>BLUE JUMP BRUSH</t>
  </si>
  <si>
    <t>STORMY SEA</t>
  </si>
  <si>
    <t>BLUE BRUSH</t>
  </si>
  <si>
    <t>BLK THICK RIBBO</t>
  </si>
  <si>
    <t>MODERN NAVY</t>
  </si>
  <si>
    <t>ALF FUCHSIA</t>
  </si>
  <si>
    <t>BLK GENOA PLACE</t>
  </si>
  <si>
    <t>DPB FLRL DASH</t>
  </si>
  <si>
    <t>DPB SHPE RESHPE</t>
  </si>
  <si>
    <t>STS FLRL CANVAS</t>
  </si>
  <si>
    <t>2335P</t>
  </si>
  <si>
    <t>BLUE FLRL CNVAS</t>
  </si>
  <si>
    <t>74902P</t>
  </si>
  <si>
    <t>57 PCS</t>
  </si>
  <si>
    <t>100015136</t>
  </si>
  <si>
    <t>CÁI MÉP</t>
  </si>
  <si>
    <t>KTP118131</t>
  </si>
  <si>
    <t>100014861</t>
  </si>
  <si>
    <t>100015148</t>
  </si>
  <si>
    <t>R2072S</t>
  </si>
  <si>
    <t>462516(733-997)</t>
  </si>
  <si>
    <t>182034338P</t>
  </si>
  <si>
    <t>182013373W</t>
  </si>
  <si>
    <t>SỐ LƯỢNG XUẤT THIẾU</t>
  </si>
  <si>
    <t>SỐ LƯỢNG XUẤT DƯ</t>
  </si>
  <si>
    <t>KPT118131-4</t>
  </si>
  <si>
    <t>LT BLU BTK</t>
  </si>
  <si>
    <t>CAPRI WHT</t>
  </si>
  <si>
    <t>SEASIDE/WH</t>
  </si>
  <si>
    <t>KTP121661-4</t>
  </si>
  <si>
    <t>BLUE</t>
  </si>
  <si>
    <t>PINK</t>
  </si>
  <si>
    <t>GREY</t>
  </si>
  <si>
    <t>YELLOW</t>
  </si>
  <si>
    <t>KPT122931</t>
  </si>
  <si>
    <t>100014864</t>
  </si>
  <si>
    <t>100014862</t>
  </si>
  <si>
    <t>KTP122131</t>
  </si>
  <si>
    <t>KTP124011</t>
  </si>
  <si>
    <t>KTP124012</t>
  </si>
  <si>
    <t>100015404</t>
  </si>
  <si>
    <t>100016367W</t>
  </si>
  <si>
    <t>NAM LIÊN</t>
  </si>
  <si>
    <t>182034836P</t>
  </si>
  <si>
    <t>100018240</t>
  </si>
  <si>
    <t>KPT128561(5)</t>
  </si>
  <si>
    <t>KPT116131</t>
  </si>
  <si>
    <t>KPT101081(5)</t>
  </si>
  <si>
    <t>464035(000-023-009)</t>
  </si>
  <si>
    <t>474304(858-366-859)</t>
  </si>
  <si>
    <t>100018176</t>
  </si>
  <si>
    <t>100018175W</t>
  </si>
  <si>
    <t>ICD 'PHÚC LONG</t>
  </si>
  <si>
    <t>474816(798)</t>
  </si>
  <si>
    <t>466798(816)</t>
  </si>
  <si>
    <t>470342(123)</t>
  </si>
  <si>
    <t>469052(122)</t>
  </si>
  <si>
    <t>BAR III</t>
  </si>
  <si>
    <t>466748(052)</t>
  </si>
  <si>
    <t>468921(859)</t>
  </si>
  <si>
    <t>471140(345)</t>
  </si>
  <si>
    <t>475746(789)</t>
  </si>
  <si>
    <t>100010579(6)</t>
  </si>
  <si>
    <t>464202(090-188)</t>
  </si>
  <si>
    <t>474753(201-727)</t>
  </si>
  <si>
    <t>483830(052)</t>
  </si>
  <si>
    <t>EESOQ-T4577</t>
  </si>
  <si>
    <t>F8SOQ-T4578M</t>
  </si>
  <si>
    <t>6D398(2)</t>
  </si>
  <si>
    <t>KPT128561(6.7.18)</t>
  </si>
  <si>
    <t>KPT128561(25.6.18)</t>
  </si>
  <si>
    <t>6X717</t>
  </si>
  <si>
    <t>KPT116131(7)</t>
  </si>
  <si>
    <t>KPT101081(7)</t>
  </si>
  <si>
    <t>KPT130311</t>
  </si>
  <si>
    <t>472371(046-045)</t>
  </si>
  <si>
    <t>466315-470242</t>
  </si>
  <si>
    <t>476091(202-728)</t>
  </si>
  <si>
    <t>474932(145)</t>
  </si>
  <si>
    <t>474935(146)</t>
  </si>
  <si>
    <t>472085(440)</t>
  </si>
  <si>
    <t>EESOQ-T4607</t>
  </si>
  <si>
    <t>F8SOQ-T4368</t>
  </si>
  <si>
    <t>470238(318)</t>
  </si>
  <si>
    <t>471300(048)</t>
  </si>
  <si>
    <t>465318(238)</t>
  </si>
  <si>
    <t>7X721</t>
  </si>
  <si>
    <t>100010579W(2)</t>
  </si>
  <si>
    <t>79718W</t>
  </si>
  <si>
    <t>2072(4.7)</t>
  </si>
  <si>
    <t>6D398(3)</t>
  </si>
  <si>
    <t>KTP142391</t>
  </si>
  <si>
    <t>KDR132731</t>
  </si>
  <si>
    <t>KTP134791</t>
  </si>
  <si>
    <t>475813(005)</t>
  </si>
  <si>
    <t>471627(534)</t>
  </si>
  <si>
    <t>476557(535)</t>
  </si>
  <si>
    <t>474934(147)</t>
  </si>
  <si>
    <t>100037213P</t>
  </si>
  <si>
    <t>474937(149)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</si>
</sst>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409]d\-mmm\-yy;@"/>
    <numFmt numFmtId="166" formatCode="dd/mmm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Cambria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FF"/>
      <name val="Times New Roman"/>
      <family val="1"/>
    </font>
    <font>
      <b/>
      <sz val="13"/>
      <color rgb="FF0000FF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FF"/>
      <name val="Times New Roman"/>
      <family val="1"/>
    </font>
    <font>
      <sz val="13"/>
      <color rgb="FF0000FF"/>
      <name val="Times New Roman"/>
      <family val="1"/>
    </font>
    <font>
      <b/>
      <u/>
      <sz val="13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20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0"/>
      <color theme="1"/>
      <name val="Calibri Light"/>
      <family val="1"/>
      <scheme val="major"/>
    </font>
    <font>
      <sz val="11"/>
      <color rgb="FFFF0000"/>
      <name val="Times New Roman"/>
      <family val="1"/>
    </font>
    <font>
      <sz val="11"/>
      <color rgb="FFFF00FF"/>
      <name val="Times New Roman"/>
      <family val="1"/>
    </font>
    <font>
      <sz val="11"/>
      <name val="Times New Roman"/>
      <family val="1"/>
    </font>
    <font>
      <sz val="11"/>
      <color rgb="FF0000FF"/>
      <name val="Times New Roman"/>
      <family val="1"/>
    </font>
    <font>
      <sz val="11"/>
      <color rgb="FFCC00FF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E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2" fillId="3" borderId="2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0" fillId="5" borderId="0" xfId="0" applyFill="1"/>
    <xf numFmtId="0" fontId="3" fillId="6" borderId="2" xfId="0" applyFont="1" applyFill="1" applyBorder="1" applyAlignment="1">
      <alignment horizontal="center" vertical="center"/>
    </xf>
    <xf numFmtId="165" fontId="3" fillId="6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/>
    </xf>
    <xf numFmtId="3" fontId="3" fillId="6" borderId="2" xfId="0" applyNumberFormat="1" applyFont="1" applyFill="1" applyBorder="1" applyAlignment="1">
      <alignment horizontal="center" vertical="center"/>
    </xf>
    <xf numFmtId="3" fontId="2" fillId="6" borderId="2" xfId="0" applyNumberFormat="1" applyFont="1" applyFill="1" applyBorder="1" applyAlignment="1">
      <alignment horizontal="center" vertical="center"/>
    </xf>
    <xf numFmtId="0" fontId="0" fillId="6" borderId="0" xfId="0" applyFill="1"/>
    <xf numFmtId="0" fontId="7" fillId="0" borderId="2" xfId="0" applyFont="1" applyFill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7" fillId="7" borderId="2" xfId="0" applyNumberFormat="1" applyFont="1" applyFill="1" applyBorder="1" applyAlignment="1">
      <alignment horizontal="center" vertical="center"/>
    </xf>
    <xf numFmtId="3" fontId="11" fillId="0" borderId="2" xfId="0" applyNumberFormat="1" applyFont="1" applyBorder="1" applyAlignment="1">
      <alignment horizontal="center" vertical="center"/>
    </xf>
    <xf numFmtId="0" fontId="9" fillId="8" borderId="2" xfId="0" applyFont="1" applyFill="1" applyBorder="1" applyAlignment="1">
      <alignment horizontal="center"/>
    </xf>
    <xf numFmtId="0" fontId="9" fillId="9" borderId="2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3" fontId="14" fillId="0" borderId="2" xfId="0" applyNumberFormat="1" applyFont="1" applyBorder="1" applyAlignment="1">
      <alignment horizontal="center"/>
    </xf>
    <xf numFmtId="3" fontId="12" fillId="0" borderId="2" xfId="0" applyNumberFormat="1" applyFont="1" applyFill="1" applyBorder="1" applyAlignment="1">
      <alignment horizontal="center"/>
    </xf>
    <xf numFmtId="3" fontId="13" fillId="7" borderId="2" xfId="0" applyNumberFormat="1" applyFont="1" applyFill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12" fillId="9" borderId="2" xfId="0" applyFont="1" applyFill="1" applyBorder="1" applyAlignment="1">
      <alignment horizontal="center"/>
    </xf>
    <xf numFmtId="0" fontId="12" fillId="3" borderId="2" xfId="0" applyFont="1" applyFill="1" applyBorder="1"/>
    <xf numFmtId="3" fontId="16" fillId="0" borderId="2" xfId="0" applyNumberFormat="1" applyFont="1" applyBorder="1" applyAlignment="1">
      <alignment horizont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/>
    <xf numFmtId="3" fontId="18" fillId="0" borderId="2" xfId="0" applyNumberFormat="1" applyFont="1" applyFill="1" applyBorder="1" applyAlignment="1">
      <alignment horizontal="center" vertical="center"/>
    </xf>
    <xf numFmtId="0" fontId="0" fillId="0" borderId="2" xfId="0" quotePrefix="1" applyFont="1" applyFill="1" applyBorder="1" applyAlignment="1">
      <alignment horizontal="center" vertical="center"/>
    </xf>
    <xf numFmtId="0" fontId="0" fillId="0" borderId="5" xfId="0" quotePrefix="1" applyFont="1" applyFill="1" applyBorder="1" applyAlignment="1">
      <alignment horizontal="center" vertical="center"/>
    </xf>
    <xf numFmtId="3" fontId="18" fillId="0" borderId="7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" fontId="20" fillId="0" borderId="2" xfId="0" applyNumberFormat="1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3" fontId="15" fillId="9" borderId="2" xfId="0" applyNumberFormat="1" applyFont="1" applyFill="1" applyBorder="1" applyAlignment="1">
      <alignment horizontal="center"/>
    </xf>
    <xf numFmtId="3" fontId="20" fillId="0" borderId="2" xfId="0" applyNumberFormat="1" applyFont="1" applyFill="1" applyBorder="1" applyAlignment="1">
      <alignment horizontal="center" vertical="center"/>
    </xf>
    <xf numFmtId="16" fontId="20" fillId="0" borderId="2" xfId="0" applyNumberFormat="1" applyFont="1" applyFill="1" applyBorder="1" applyAlignment="1">
      <alignment horizontal="center" vertical="center"/>
    </xf>
    <xf numFmtId="0" fontId="20" fillId="0" borderId="2" xfId="0" quotePrefix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16" fontId="20" fillId="0" borderId="4" xfId="0" applyNumberFormat="1" applyFont="1" applyFill="1" applyBorder="1" applyAlignment="1">
      <alignment horizontal="center" vertical="center"/>
    </xf>
    <xf numFmtId="0" fontId="20" fillId="0" borderId="4" xfId="0" quotePrefix="1" applyFont="1" applyFill="1" applyBorder="1" applyAlignment="1">
      <alignment horizontal="center" vertical="center"/>
    </xf>
    <xf numFmtId="3" fontId="20" fillId="0" borderId="4" xfId="0" applyNumberFormat="1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 vertical="center"/>
    </xf>
    <xf numFmtId="0" fontId="0" fillId="10" borderId="2" xfId="0" quotePrefix="1" applyFont="1" applyFill="1" applyBorder="1" applyAlignment="1">
      <alignment horizontal="center" vertical="center"/>
    </xf>
    <xf numFmtId="0" fontId="0" fillId="10" borderId="2" xfId="0" quotePrefix="1" applyFont="1" applyFill="1" applyBorder="1" applyAlignment="1">
      <alignment vertical="center"/>
    </xf>
    <xf numFmtId="3" fontId="15" fillId="0" borderId="2" xfId="0" applyNumberFormat="1" applyFont="1" applyFill="1" applyBorder="1" applyAlignment="1">
      <alignment horizontal="center"/>
    </xf>
    <xf numFmtId="16" fontId="20" fillId="0" borderId="2" xfId="0" applyNumberFormat="1" applyFont="1" applyFill="1" applyBorder="1" applyAlignment="1">
      <alignment horizontal="center" vertical="center" wrapText="1"/>
    </xf>
    <xf numFmtId="0" fontId="20" fillId="0" borderId="2" xfId="0" quotePrefix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2" fillId="0" borderId="2" xfId="0" applyNumberFormat="1" applyFont="1" applyFill="1" applyBorder="1" applyAlignment="1">
      <alignment horizontal="center" vertical="center" wrapText="1"/>
    </xf>
    <xf numFmtId="3" fontId="23" fillId="0" borderId="2" xfId="0" applyNumberFormat="1" applyFont="1" applyFill="1" applyBorder="1" applyAlignment="1">
      <alignment horizontal="center" vertical="center" wrapText="1"/>
    </xf>
    <xf numFmtId="3" fontId="24" fillId="0" borderId="2" xfId="0" applyNumberFormat="1" applyFont="1" applyFill="1" applyBorder="1" applyAlignment="1">
      <alignment horizontal="center" vertical="center" wrapText="1"/>
    </xf>
    <xf numFmtId="3" fontId="25" fillId="0" borderId="2" xfId="0" applyNumberFormat="1" applyFont="1" applyFill="1" applyBorder="1" applyAlignment="1">
      <alignment horizontal="center" vertical="center"/>
    </xf>
    <xf numFmtId="3" fontId="26" fillId="0" borderId="2" xfId="0" applyNumberFormat="1" applyFont="1" applyFill="1" applyBorder="1" applyAlignment="1">
      <alignment horizontal="center" vertical="center"/>
    </xf>
    <xf numFmtId="16" fontId="20" fillId="0" borderId="3" xfId="0" applyNumberFormat="1" applyFont="1" applyFill="1" applyBorder="1" applyAlignment="1">
      <alignment horizontal="center" vertical="center"/>
    </xf>
    <xf numFmtId="0" fontId="20" fillId="0" borderId="3" xfId="0" quotePrefix="1" applyFont="1" applyFill="1" applyBorder="1" applyAlignment="1">
      <alignment horizontal="center" vertical="center"/>
    </xf>
    <xf numFmtId="3" fontId="20" fillId="0" borderId="3" xfId="0" applyNumberFormat="1" applyFont="1" applyFill="1" applyBorder="1" applyAlignment="1">
      <alignment horizontal="center" vertical="center"/>
    </xf>
    <xf numFmtId="0" fontId="20" fillId="0" borderId="14" xfId="0" applyNumberFormat="1" applyFont="1" applyFill="1" applyBorder="1" applyAlignment="1">
      <alignment horizontal="center" vertical="center" wrapText="1"/>
    </xf>
    <xf numFmtId="0" fontId="20" fillId="0" borderId="14" xfId="0" quotePrefix="1" applyNumberFormat="1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0" borderId="14" xfId="0" applyNumberFormat="1" applyFont="1" applyFill="1" applyBorder="1" applyAlignment="1">
      <alignment horizontal="center" vertical="center" wrapText="1"/>
    </xf>
    <xf numFmtId="0" fontId="24" fillId="0" borderId="14" xfId="0" applyNumberFormat="1" applyFont="1" applyFill="1" applyBorder="1" applyAlignment="1">
      <alignment horizontal="center" vertical="center" wrapText="1"/>
    </xf>
    <xf numFmtId="0" fontId="25" fillId="0" borderId="14" xfId="0" applyNumberFormat="1" applyFont="1" applyFill="1" applyBorder="1" applyAlignment="1">
      <alignment horizontal="center" vertical="center"/>
    </xf>
    <xf numFmtId="0" fontId="26" fillId="0" borderId="14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 wrapText="1"/>
    </xf>
    <xf numFmtId="0" fontId="20" fillId="0" borderId="2" xfId="0" quotePrefix="1" applyNumberFormat="1" applyFont="1" applyFill="1" applyBorder="1" applyAlignment="1">
      <alignment horizontal="center" vertical="center" wrapText="1"/>
    </xf>
    <xf numFmtId="0" fontId="23" fillId="0" borderId="2" xfId="0" applyNumberFormat="1" applyFont="1" applyFill="1" applyBorder="1" applyAlignment="1">
      <alignment horizontal="center" vertical="center" wrapText="1"/>
    </xf>
    <xf numFmtId="0" fontId="24" fillId="0" borderId="2" xfId="0" applyNumberFormat="1" applyFont="1" applyFill="1" applyBorder="1" applyAlignment="1">
      <alignment horizontal="center" vertical="center" wrapText="1"/>
    </xf>
    <xf numFmtId="0" fontId="25" fillId="0" borderId="2" xfId="0" applyNumberFormat="1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/>
    </xf>
    <xf numFmtId="16" fontId="20" fillId="0" borderId="14" xfId="0" applyNumberFormat="1" applyFont="1" applyFill="1" applyBorder="1" applyAlignment="1">
      <alignment horizontal="center" vertical="center" wrapText="1"/>
    </xf>
    <xf numFmtId="3" fontId="23" fillId="2" borderId="2" xfId="0" applyNumberFormat="1" applyFont="1" applyFill="1" applyBorder="1" applyAlignment="1">
      <alignment horizontal="center" vertical="center" wrapText="1"/>
    </xf>
    <xf numFmtId="3" fontId="26" fillId="0" borderId="3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3" fillId="2" borderId="14" xfId="0" applyNumberFormat="1" applyFont="1" applyFill="1" applyBorder="1" applyAlignment="1">
      <alignment horizontal="center" vertical="center" wrapText="1"/>
    </xf>
    <xf numFmtId="0" fontId="23" fillId="2" borderId="2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3" fontId="23" fillId="0" borderId="3" xfId="0" applyNumberFormat="1" applyFont="1" applyFill="1" applyBorder="1" applyAlignment="1">
      <alignment horizontal="center" vertical="center" wrapText="1"/>
    </xf>
    <xf numFmtId="0" fontId="22" fillId="0" borderId="12" xfId="0" applyNumberFormat="1" applyFont="1" applyFill="1" applyBorder="1" applyAlignment="1">
      <alignment horizontal="center" vertical="center" wrapText="1"/>
    </xf>
    <xf numFmtId="0" fontId="23" fillId="0" borderId="12" xfId="0" applyNumberFormat="1" applyFont="1" applyFill="1" applyBorder="1" applyAlignment="1">
      <alignment horizontal="center" vertical="center" wrapText="1"/>
    </xf>
    <xf numFmtId="0" fontId="25" fillId="0" borderId="12" xfId="0" applyNumberFormat="1" applyFont="1" applyFill="1" applyBorder="1" applyAlignment="1">
      <alignment horizontal="center" vertical="center"/>
    </xf>
    <xf numFmtId="0" fontId="26" fillId="0" borderId="12" xfId="0" applyNumberFormat="1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2" fillId="0" borderId="4" xfId="0" applyNumberFormat="1" applyFont="1" applyFill="1" applyBorder="1" applyAlignment="1">
      <alignment horizontal="center" vertical="center" wrapText="1"/>
    </xf>
    <xf numFmtId="3" fontId="23" fillId="0" borderId="4" xfId="0" applyNumberFormat="1" applyFont="1" applyFill="1" applyBorder="1" applyAlignment="1">
      <alignment horizontal="center" vertical="center" wrapText="1"/>
    </xf>
    <xf numFmtId="3" fontId="25" fillId="0" borderId="4" xfId="0" applyNumberFormat="1" applyFont="1" applyFill="1" applyBorder="1" applyAlignment="1">
      <alignment horizontal="center" vertical="center"/>
    </xf>
    <xf numFmtId="3" fontId="26" fillId="0" borderId="4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 wrapText="1"/>
    </xf>
    <xf numFmtId="3" fontId="25" fillId="0" borderId="3" xfId="0" applyNumberFormat="1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center" vertical="center" wrapText="1"/>
    </xf>
    <xf numFmtId="3" fontId="23" fillId="0" borderId="13" xfId="0" applyNumberFormat="1" applyFont="1" applyFill="1" applyBorder="1" applyAlignment="1">
      <alignment horizontal="center" vertical="center" wrapText="1"/>
    </xf>
    <xf numFmtId="3" fontId="25" fillId="0" borderId="13" xfId="0" applyNumberFormat="1" applyFont="1" applyFill="1" applyBorder="1" applyAlignment="1">
      <alignment horizontal="center" vertical="center"/>
    </xf>
    <xf numFmtId="3" fontId="26" fillId="0" borderId="13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/>
    <xf numFmtId="16" fontId="20" fillId="0" borderId="13" xfId="0" applyNumberFormat="1" applyFont="1" applyBorder="1" applyAlignment="1">
      <alignment horizontal="center" vertical="center"/>
    </xf>
    <xf numFmtId="0" fontId="20" fillId="0" borderId="13" xfId="0" quotePrefix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3" fontId="20" fillId="0" borderId="13" xfId="0" applyNumberFormat="1" applyFont="1" applyFill="1" applyBorder="1" applyAlignment="1">
      <alignment horizontal="center" vertical="center"/>
    </xf>
    <xf numFmtId="16" fontId="20" fillId="0" borderId="12" xfId="0" applyNumberFormat="1" applyFont="1" applyFill="1" applyBorder="1" applyAlignment="1">
      <alignment horizontal="center" vertical="center"/>
    </xf>
    <xf numFmtId="0" fontId="20" fillId="0" borderId="12" xfId="0" quotePrefix="1" applyNumberFormat="1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3" fontId="18" fillId="6" borderId="2" xfId="0" applyNumberFormat="1" applyFont="1" applyFill="1" applyBorder="1" applyAlignment="1">
      <alignment horizontal="center" vertical="center"/>
    </xf>
    <xf numFmtId="16" fontId="27" fillId="0" borderId="15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/>
    <xf numFmtId="0" fontId="29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16" fontId="27" fillId="0" borderId="8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166" fontId="20" fillId="0" borderId="2" xfId="0" applyNumberFormat="1" applyFont="1" applyFill="1" applyBorder="1" applyAlignment="1">
      <alignment horizontal="center" vertical="center" wrapText="1"/>
    </xf>
    <xf numFmtId="3" fontId="23" fillId="2" borderId="3" xfId="0" applyNumberFormat="1" applyFont="1" applyFill="1" applyBorder="1" applyAlignment="1">
      <alignment horizontal="center" vertical="center" wrapText="1"/>
    </xf>
    <xf numFmtId="16" fontId="20" fillId="0" borderId="3" xfId="0" applyNumberFormat="1" applyFont="1" applyFill="1" applyBorder="1" applyAlignment="1">
      <alignment horizontal="center" vertical="center" wrapText="1"/>
    </xf>
    <xf numFmtId="0" fontId="20" fillId="0" borderId="3" xfId="0" quotePrefix="1" applyFont="1" applyFill="1" applyBorder="1" applyAlignment="1">
      <alignment horizontal="center" vertical="center" wrapText="1"/>
    </xf>
    <xf numFmtId="3" fontId="24" fillId="0" borderId="3" xfId="0" applyNumberFormat="1" applyFont="1" applyFill="1" applyBorder="1" applyAlignment="1">
      <alignment horizontal="center" vertical="center" wrapText="1"/>
    </xf>
    <xf numFmtId="166" fontId="20" fillId="0" borderId="14" xfId="0" applyNumberFormat="1" applyFont="1" applyFill="1" applyBorder="1" applyAlignment="1">
      <alignment horizontal="center" vertical="center" wrapText="1"/>
    </xf>
    <xf numFmtId="0" fontId="20" fillId="0" borderId="14" xfId="0" quotePrefix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3" fontId="23" fillId="2" borderId="14" xfId="0" applyNumberFormat="1" applyFont="1" applyFill="1" applyBorder="1" applyAlignment="1">
      <alignment horizontal="center" vertical="center" wrapText="1"/>
    </xf>
    <xf numFmtId="3" fontId="24" fillId="0" borderId="14" xfId="0" applyNumberFormat="1" applyFont="1" applyFill="1" applyBorder="1" applyAlignment="1">
      <alignment horizontal="center" vertical="center" wrapText="1"/>
    </xf>
    <xf numFmtId="3" fontId="25" fillId="0" borderId="14" xfId="0" applyNumberFormat="1" applyFont="1" applyFill="1" applyBorder="1" applyAlignment="1">
      <alignment horizontal="center" vertical="center"/>
    </xf>
    <xf numFmtId="3" fontId="26" fillId="0" borderId="14" xfId="0" applyNumberFormat="1" applyFont="1" applyFill="1" applyBorder="1" applyAlignment="1">
      <alignment horizontal="center" vertical="center"/>
    </xf>
    <xf numFmtId="166" fontId="20" fillId="0" borderId="3" xfId="0" applyNumberFormat="1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FFD9"/>
      <color rgb="FFFFE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39C36.AB97687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cid:image001.jpg@01D3A254.4CC444C0" TargetMode="External"/><Relationship Id="rId1" Type="http://schemas.openxmlformats.org/officeDocument/2006/relationships/image" Target="../media/image2.jpeg"/><Relationship Id="rId4" Type="http://schemas.openxmlformats.org/officeDocument/2006/relationships/image" Target="cid:image001.png@01D3B077.CAAABBE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66</xdr:row>
      <xdr:rowOff>0</xdr:rowOff>
    </xdr:from>
    <xdr:to>
      <xdr:col>10</xdr:col>
      <xdr:colOff>804489</xdr:colOff>
      <xdr:row>93</xdr:row>
      <xdr:rowOff>85726</xdr:rowOff>
    </xdr:to>
    <xdr:pic>
      <xdr:nvPicPr>
        <xdr:cNvPr id="3" name="Picture 1" descr="cid:image001.jpg@01D39C36.AB97687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1553"/>
        <a:stretch/>
      </xdr:blipFill>
      <xdr:spPr bwMode="auto">
        <a:xfrm>
          <a:off x="0" y="13620750"/>
          <a:ext cx="8919789" cy="52292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282498</xdr:colOff>
      <xdr:row>19</xdr:row>
      <xdr:rowOff>114300</xdr:rowOff>
    </xdr:to>
    <xdr:pic>
      <xdr:nvPicPr>
        <xdr:cNvPr id="2" name="Picture 1" descr="cid:image001.jpg@01D3A254.4CC444C0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864898" cy="3733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17</xdr:col>
      <xdr:colOff>466725</xdr:colOff>
      <xdr:row>34</xdr:row>
      <xdr:rowOff>95250</xdr:rowOff>
    </xdr:to>
    <xdr:pic>
      <xdr:nvPicPr>
        <xdr:cNvPr id="3" name="Picture 2" descr="cid:image001.png@01D3B077.CAAABBE0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0"/>
          <a:ext cx="10829925" cy="2762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45"/>
  <sheetViews>
    <sheetView workbookViewId="0">
      <selection activeCell="M10" sqref="M10"/>
    </sheetView>
  </sheetViews>
  <sheetFormatPr defaultRowHeight="15" x14ac:dyDescent="0.25"/>
  <cols>
    <col min="1" max="1" width="10" bestFit="1" customWidth="1"/>
    <col min="2" max="2" width="19" bestFit="1" customWidth="1"/>
    <col min="8" max="8" width="13.28515625" bestFit="1" customWidth="1"/>
    <col min="9" max="9" width="12.85546875" bestFit="1" customWidth="1"/>
  </cols>
  <sheetData>
    <row r="1" spans="1:17" ht="26.25" x14ac:dyDescent="0.25">
      <c r="A1" s="152" t="s">
        <v>166</v>
      </c>
      <c r="B1" s="152"/>
      <c r="C1" s="152"/>
      <c r="D1" s="152"/>
      <c r="E1" s="152"/>
    </row>
    <row r="2" spans="1:17" ht="15.75" x14ac:dyDescent="0.25">
      <c r="A2" s="40" t="s">
        <v>61</v>
      </c>
      <c r="B2" s="40" t="s">
        <v>30</v>
      </c>
      <c r="C2" s="40" t="s">
        <v>32</v>
      </c>
      <c r="D2" s="40" t="s">
        <v>33</v>
      </c>
      <c r="E2" s="40" t="s">
        <v>62</v>
      </c>
      <c r="G2" s="1" t="s">
        <v>25</v>
      </c>
      <c r="H2" s="1" t="s">
        <v>29</v>
      </c>
      <c r="I2" s="1" t="s">
        <v>30</v>
      </c>
      <c r="J2" s="1" t="s">
        <v>31</v>
      </c>
      <c r="K2" s="1" t="s">
        <v>32</v>
      </c>
      <c r="L2" s="1" t="s">
        <v>33</v>
      </c>
      <c r="M2" s="1" t="s">
        <v>34</v>
      </c>
      <c r="N2" s="1" t="s">
        <v>35</v>
      </c>
      <c r="O2" s="1" t="s">
        <v>36</v>
      </c>
      <c r="P2" s="1" t="s">
        <v>37</v>
      </c>
      <c r="Q2" s="1" t="s">
        <v>38</v>
      </c>
    </row>
    <row r="3" spans="1:17" ht="15.75" x14ac:dyDescent="0.25">
      <c r="A3" s="63">
        <v>100015437</v>
      </c>
      <c r="B3" s="43" t="s">
        <v>167</v>
      </c>
      <c r="C3" s="43">
        <v>2</v>
      </c>
      <c r="D3" s="43">
        <v>1</v>
      </c>
      <c r="E3" s="43"/>
      <c r="G3" s="3" t="s">
        <v>40</v>
      </c>
      <c r="H3" s="17" t="s">
        <v>5</v>
      </c>
      <c r="I3" s="17" t="s">
        <v>46</v>
      </c>
      <c r="J3" s="20"/>
      <c r="K3" s="20">
        <v>1</v>
      </c>
      <c r="L3" s="20"/>
      <c r="M3" s="20"/>
      <c r="N3" s="20"/>
      <c r="O3" s="20"/>
      <c r="P3" s="20"/>
      <c r="Q3" s="7">
        <f>SUM(J3:P3)</f>
        <v>1</v>
      </c>
    </row>
    <row r="4" spans="1:17" ht="15.75" x14ac:dyDescent="0.25">
      <c r="A4" s="63">
        <v>100014860</v>
      </c>
      <c r="B4" s="43" t="s">
        <v>168</v>
      </c>
      <c r="C4" s="43"/>
      <c r="D4" s="43">
        <v>1</v>
      </c>
      <c r="E4" s="43"/>
      <c r="G4" s="3" t="s">
        <v>40</v>
      </c>
      <c r="H4" s="17" t="s">
        <v>5</v>
      </c>
      <c r="I4" s="17" t="s">
        <v>45</v>
      </c>
      <c r="J4" s="20"/>
      <c r="K4" s="20">
        <v>1</v>
      </c>
      <c r="L4" s="20"/>
      <c r="M4" s="20"/>
      <c r="N4" s="20"/>
      <c r="O4" s="20"/>
      <c r="P4" s="20"/>
      <c r="Q4" s="7">
        <f t="shared" ref="Q4:Q23" si="0">SUM(J4:P4)</f>
        <v>1</v>
      </c>
    </row>
    <row r="5" spans="1:17" ht="15.75" x14ac:dyDescent="0.25">
      <c r="A5" s="42">
        <v>100015148</v>
      </c>
      <c r="B5" s="46" t="s">
        <v>169</v>
      </c>
      <c r="C5" s="43">
        <v>2</v>
      </c>
      <c r="D5" s="43">
        <v>1</v>
      </c>
      <c r="E5" s="43"/>
      <c r="G5" s="3" t="s">
        <v>40</v>
      </c>
      <c r="H5" s="17" t="s">
        <v>5</v>
      </c>
      <c r="I5" s="17" t="s">
        <v>45</v>
      </c>
      <c r="J5" s="20"/>
      <c r="K5" s="20">
        <v>1</v>
      </c>
      <c r="L5" s="20"/>
      <c r="M5" s="20"/>
      <c r="N5" s="20"/>
      <c r="O5" s="20"/>
      <c r="P5" s="20"/>
      <c r="Q5" s="7">
        <f t="shared" si="0"/>
        <v>1</v>
      </c>
    </row>
    <row r="6" spans="1:17" ht="15.75" x14ac:dyDescent="0.25">
      <c r="A6" s="47">
        <v>100015354</v>
      </c>
      <c r="B6" s="46" t="s">
        <v>86</v>
      </c>
      <c r="C6" s="43">
        <v>2</v>
      </c>
      <c r="D6" s="43">
        <v>1</v>
      </c>
      <c r="E6" s="43"/>
      <c r="G6" s="3" t="s">
        <v>40</v>
      </c>
      <c r="H6" s="123" t="s">
        <v>17</v>
      </c>
      <c r="I6" s="123" t="s">
        <v>45</v>
      </c>
      <c r="J6" s="6"/>
      <c r="K6" s="6">
        <v>1</v>
      </c>
      <c r="L6" s="6"/>
      <c r="M6" s="6"/>
      <c r="N6" s="6"/>
      <c r="O6" s="6"/>
      <c r="P6" s="6"/>
      <c r="Q6" s="7">
        <f t="shared" si="0"/>
        <v>1</v>
      </c>
    </row>
    <row r="7" spans="1:17" ht="15.75" x14ac:dyDescent="0.25">
      <c r="A7" s="47">
        <v>100015354</v>
      </c>
      <c r="B7" s="46" t="s">
        <v>170</v>
      </c>
      <c r="C7" s="43">
        <v>2</v>
      </c>
      <c r="D7" s="43">
        <v>1</v>
      </c>
      <c r="E7" s="43"/>
      <c r="G7" s="124" t="s">
        <v>40</v>
      </c>
      <c r="H7" s="125" t="s">
        <v>194</v>
      </c>
      <c r="I7" s="125" t="s">
        <v>195</v>
      </c>
      <c r="J7" s="126">
        <v>2</v>
      </c>
      <c r="K7" s="126">
        <v>2</v>
      </c>
      <c r="L7" s="126">
        <v>2</v>
      </c>
      <c r="M7" s="126">
        <v>2</v>
      </c>
      <c r="N7" s="126">
        <v>1</v>
      </c>
      <c r="O7" s="126">
        <v>2</v>
      </c>
      <c r="P7" s="126">
        <v>2</v>
      </c>
      <c r="Q7" s="7">
        <f t="shared" si="0"/>
        <v>13</v>
      </c>
    </row>
    <row r="8" spans="1:17" ht="15.75" x14ac:dyDescent="0.25">
      <c r="A8" s="64">
        <v>100015225</v>
      </c>
      <c r="B8" s="46" t="s">
        <v>171</v>
      </c>
      <c r="C8" s="43"/>
      <c r="D8" s="43">
        <v>1</v>
      </c>
      <c r="E8" s="43"/>
      <c r="G8" s="3" t="s">
        <v>40</v>
      </c>
      <c r="H8" s="123" t="s">
        <v>6</v>
      </c>
      <c r="I8" s="123" t="s">
        <v>45</v>
      </c>
      <c r="J8" s="6"/>
      <c r="K8" s="6">
        <v>1</v>
      </c>
      <c r="L8" s="6"/>
      <c r="M8" s="6"/>
      <c r="N8" s="6"/>
      <c r="O8" s="6"/>
      <c r="P8" s="6"/>
      <c r="Q8" s="7">
        <f t="shared" si="0"/>
        <v>1</v>
      </c>
    </row>
    <row r="9" spans="1:17" ht="15.75" x14ac:dyDescent="0.25">
      <c r="A9" s="64">
        <v>100009597</v>
      </c>
      <c r="B9" s="46" t="s">
        <v>86</v>
      </c>
      <c r="C9" s="43">
        <v>2</v>
      </c>
      <c r="D9" s="43">
        <v>1</v>
      </c>
      <c r="E9" s="43"/>
      <c r="G9" s="3" t="s">
        <v>40</v>
      </c>
      <c r="H9" s="123" t="s">
        <v>6</v>
      </c>
      <c r="I9" s="123" t="s">
        <v>45</v>
      </c>
      <c r="J9" s="6"/>
      <c r="K9" s="6">
        <v>1</v>
      </c>
      <c r="L9" s="6"/>
      <c r="M9" s="6"/>
      <c r="N9" s="6"/>
      <c r="O9" s="6"/>
      <c r="P9" s="6"/>
      <c r="Q9" s="7">
        <f t="shared" si="0"/>
        <v>1</v>
      </c>
    </row>
    <row r="10" spans="1:17" ht="15.75" x14ac:dyDescent="0.25">
      <c r="A10" s="64">
        <v>100015357</v>
      </c>
      <c r="B10" s="46" t="s">
        <v>172</v>
      </c>
      <c r="C10" s="43">
        <v>2</v>
      </c>
      <c r="D10" s="43">
        <v>1</v>
      </c>
      <c r="E10" s="43">
        <v>2</v>
      </c>
      <c r="G10" s="3" t="s">
        <v>40</v>
      </c>
      <c r="H10" s="123" t="s">
        <v>6</v>
      </c>
      <c r="I10" s="123" t="s">
        <v>45</v>
      </c>
      <c r="J10" s="6"/>
      <c r="K10" s="6">
        <v>1</v>
      </c>
      <c r="L10" s="6"/>
      <c r="M10" s="6"/>
      <c r="N10" s="6"/>
      <c r="O10" s="6"/>
      <c r="P10" s="6"/>
      <c r="Q10" s="7">
        <f t="shared" si="0"/>
        <v>1</v>
      </c>
    </row>
    <row r="11" spans="1:17" ht="15.75" x14ac:dyDescent="0.25">
      <c r="A11" s="47">
        <v>100015355</v>
      </c>
      <c r="B11" s="46" t="s">
        <v>86</v>
      </c>
      <c r="C11" s="43"/>
      <c r="D11" s="43"/>
      <c r="E11" s="43">
        <v>2</v>
      </c>
      <c r="G11" s="3" t="s">
        <v>40</v>
      </c>
      <c r="H11" s="17" t="s">
        <v>16</v>
      </c>
      <c r="I11" s="17" t="s">
        <v>45</v>
      </c>
      <c r="J11" s="20"/>
      <c r="K11" s="20">
        <v>1</v>
      </c>
      <c r="L11" s="20"/>
      <c r="M11" s="20"/>
      <c r="N11" s="20"/>
      <c r="O11" s="20"/>
      <c r="P11" s="20"/>
      <c r="Q11" s="7">
        <f t="shared" si="0"/>
        <v>1</v>
      </c>
    </row>
    <row r="12" spans="1:17" ht="15.75" x14ac:dyDescent="0.25">
      <c r="A12" s="47">
        <v>100015355</v>
      </c>
      <c r="B12" s="46" t="s">
        <v>173</v>
      </c>
      <c r="C12" s="43"/>
      <c r="D12" s="43"/>
      <c r="E12" s="43">
        <v>2</v>
      </c>
      <c r="G12" s="3" t="s">
        <v>40</v>
      </c>
      <c r="H12" s="17" t="s">
        <v>16</v>
      </c>
      <c r="I12" s="17" t="s">
        <v>45</v>
      </c>
      <c r="J12" s="20"/>
      <c r="K12" s="20">
        <v>1</v>
      </c>
      <c r="L12" s="20"/>
      <c r="M12" s="20"/>
      <c r="N12" s="20"/>
      <c r="O12" s="20"/>
      <c r="P12" s="20"/>
      <c r="Q12" s="7">
        <f t="shared" si="0"/>
        <v>1</v>
      </c>
    </row>
    <row r="13" spans="1:17" ht="15.75" x14ac:dyDescent="0.25">
      <c r="A13" s="47">
        <v>100015355</v>
      </c>
      <c r="B13" s="46" t="s">
        <v>174</v>
      </c>
      <c r="C13" s="43"/>
      <c r="D13" s="43"/>
      <c r="E13" s="43">
        <v>2</v>
      </c>
      <c r="G13" s="3" t="s">
        <v>40</v>
      </c>
      <c r="H13" s="17" t="s">
        <v>16</v>
      </c>
      <c r="I13" s="17" t="s">
        <v>45</v>
      </c>
      <c r="J13" s="20"/>
      <c r="K13" s="20">
        <v>1</v>
      </c>
      <c r="L13" s="20"/>
      <c r="M13" s="20"/>
      <c r="N13" s="20"/>
      <c r="O13" s="20"/>
      <c r="P13" s="20"/>
      <c r="Q13" s="7">
        <f t="shared" si="0"/>
        <v>1</v>
      </c>
    </row>
    <row r="14" spans="1:17" ht="15.75" x14ac:dyDescent="0.25">
      <c r="A14" s="64">
        <v>100015153</v>
      </c>
      <c r="B14" s="46" t="s">
        <v>175</v>
      </c>
      <c r="C14" s="43">
        <v>2</v>
      </c>
      <c r="D14" s="43">
        <v>1</v>
      </c>
      <c r="E14" s="43">
        <v>2</v>
      </c>
      <c r="G14" s="3" t="s">
        <v>40</v>
      </c>
      <c r="H14" s="123" t="s">
        <v>163</v>
      </c>
      <c r="I14" s="123" t="s">
        <v>45</v>
      </c>
      <c r="J14" s="6"/>
      <c r="K14" s="6">
        <v>1</v>
      </c>
      <c r="L14" s="6"/>
      <c r="M14" s="6"/>
      <c r="N14" s="6"/>
      <c r="O14" s="6"/>
      <c r="P14" s="6"/>
      <c r="Q14" s="7">
        <f t="shared" si="0"/>
        <v>1</v>
      </c>
    </row>
    <row r="15" spans="1:17" ht="15.75" x14ac:dyDescent="0.25">
      <c r="A15" s="64">
        <v>100014854</v>
      </c>
      <c r="B15" s="46" t="s">
        <v>176</v>
      </c>
      <c r="C15" s="43">
        <v>2</v>
      </c>
      <c r="D15" s="43">
        <v>1</v>
      </c>
      <c r="E15" s="43">
        <v>2</v>
      </c>
      <c r="G15" s="3" t="s">
        <v>40</v>
      </c>
      <c r="H15" s="123" t="s">
        <v>163</v>
      </c>
      <c r="I15" s="123" t="s">
        <v>45</v>
      </c>
      <c r="J15" s="6"/>
      <c r="K15" s="6">
        <v>1</v>
      </c>
      <c r="L15" s="6"/>
      <c r="M15" s="6"/>
      <c r="N15" s="6"/>
      <c r="O15" s="6"/>
      <c r="P15" s="6"/>
      <c r="Q15" s="7">
        <f t="shared" si="0"/>
        <v>1</v>
      </c>
    </row>
    <row r="16" spans="1:17" ht="15.75" x14ac:dyDescent="0.25">
      <c r="A16" s="64">
        <v>100014855</v>
      </c>
      <c r="B16" s="46" t="s">
        <v>177</v>
      </c>
      <c r="C16" s="43">
        <v>2</v>
      </c>
      <c r="D16" s="43">
        <v>1</v>
      </c>
      <c r="E16" s="43"/>
      <c r="G16" s="3" t="s">
        <v>40</v>
      </c>
      <c r="H16" s="123" t="s">
        <v>163</v>
      </c>
      <c r="I16" s="123" t="s">
        <v>45</v>
      </c>
      <c r="J16" s="6"/>
      <c r="K16" s="6">
        <v>1</v>
      </c>
      <c r="L16" s="6"/>
      <c r="M16" s="6"/>
      <c r="N16" s="6"/>
      <c r="O16" s="6"/>
      <c r="P16" s="6"/>
      <c r="Q16" s="7">
        <f t="shared" si="0"/>
        <v>1</v>
      </c>
    </row>
    <row r="17" spans="1:17" ht="15.75" x14ac:dyDescent="0.25">
      <c r="A17" s="64">
        <v>100014861</v>
      </c>
      <c r="B17" s="46" t="s">
        <v>178</v>
      </c>
      <c r="C17" s="43">
        <v>2</v>
      </c>
      <c r="D17" s="43"/>
      <c r="E17" s="43"/>
      <c r="G17" s="3" t="s">
        <v>40</v>
      </c>
      <c r="H17" s="17" t="s">
        <v>18</v>
      </c>
      <c r="I17" s="17" t="s">
        <v>47</v>
      </c>
      <c r="J17" s="20"/>
      <c r="K17" s="20">
        <v>1</v>
      </c>
      <c r="L17" s="20"/>
      <c r="M17" s="20"/>
      <c r="N17" s="20"/>
      <c r="O17" s="20"/>
      <c r="P17" s="20"/>
      <c r="Q17" s="7">
        <f t="shared" si="0"/>
        <v>1</v>
      </c>
    </row>
    <row r="18" spans="1:17" ht="15.75" x14ac:dyDescent="0.25">
      <c r="A18" s="47" t="s">
        <v>179</v>
      </c>
      <c r="B18" s="46" t="s">
        <v>86</v>
      </c>
      <c r="C18" s="43"/>
      <c r="D18" s="43"/>
      <c r="E18" s="43">
        <v>2</v>
      </c>
      <c r="G18" s="3" t="s">
        <v>40</v>
      </c>
      <c r="H18" s="123" t="s">
        <v>185</v>
      </c>
      <c r="I18" s="123" t="s">
        <v>195</v>
      </c>
      <c r="J18" s="6"/>
      <c r="K18" s="6">
        <v>1</v>
      </c>
      <c r="L18" s="6"/>
      <c r="M18" s="6"/>
      <c r="N18" s="6"/>
      <c r="O18" s="6"/>
      <c r="P18" s="6"/>
      <c r="Q18" s="7">
        <f t="shared" si="0"/>
        <v>1</v>
      </c>
    </row>
    <row r="19" spans="1:17" ht="15.75" x14ac:dyDescent="0.25">
      <c r="A19" s="65">
        <v>100015151</v>
      </c>
      <c r="B19" s="46" t="s">
        <v>180</v>
      </c>
      <c r="C19" s="43">
        <v>2</v>
      </c>
      <c r="D19" s="43">
        <v>1</v>
      </c>
      <c r="E19" s="43">
        <v>2</v>
      </c>
      <c r="G19" s="3" t="s">
        <v>40</v>
      </c>
      <c r="H19" s="123" t="s">
        <v>185</v>
      </c>
      <c r="I19" s="123" t="s">
        <v>195</v>
      </c>
      <c r="J19" s="6"/>
      <c r="K19" s="6">
        <v>1</v>
      </c>
      <c r="L19" s="6"/>
      <c r="M19" s="6"/>
      <c r="N19" s="6"/>
      <c r="O19" s="6"/>
      <c r="P19" s="6"/>
      <c r="Q19" s="7">
        <f t="shared" si="0"/>
        <v>1</v>
      </c>
    </row>
    <row r="20" spans="1:17" ht="15.75" x14ac:dyDescent="0.25">
      <c r="A20" s="47" t="s">
        <v>181</v>
      </c>
      <c r="B20" s="46" t="s">
        <v>86</v>
      </c>
      <c r="C20" s="43"/>
      <c r="D20" s="43"/>
      <c r="E20" s="43">
        <v>2</v>
      </c>
      <c r="G20" s="3" t="s">
        <v>40</v>
      </c>
      <c r="H20" s="17" t="s">
        <v>164</v>
      </c>
      <c r="I20" s="17" t="s">
        <v>196</v>
      </c>
      <c r="J20" s="20"/>
      <c r="K20" s="20">
        <v>1</v>
      </c>
      <c r="L20" s="20"/>
      <c r="M20" s="20"/>
      <c r="N20" s="20"/>
      <c r="O20" s="20"/>
      <c r="P20" s="20"/>
      <c r="Q20" s="7">
        <f t="shared" si="0"/>
        <v>1</v>
      </c>
    </row>
    <row r="21" spans="1:17" ht="15.75" x14ac:dyDescent="0.25">
      <c r="A21" s="47" t="s">
        <v>181</v>
      </c>
      <c r="B21" s="46" t="s">
        <v>170</v>
      </c>
      <c r="C21" s="43"/>
      <c r="D21" s="43"/>
      <c r="E21" s="43">
        <v>2</v>
      </c>
      <c r="G21" s="3" t="s">
        <v>40</v>
      </c>
      <c r="H21" s="17" t="s">
        <v>164</v>
      </c>
      <c r="I21" s="17" t="s">
        <v>197</v>
      </c>
      <c r="J21" s="20"/>
      <c r="K21" s="20">
        <v>1</v>
      </c>
      <c r="L21" s="20"/>
      <c r="M21" s="20"/>
      <c r="N21" s="20"/>
      <c r="O21" s="20"/>
      <c r="P21" s="20"/>
      <c r="Q21" s="7">
        <f t="shared" si="0"/>
        <v>1</v>
      </c>
    </row>
    <row r="22" spans="1:17" ht="15.75" x14ac:dyDescent="0.25">
      <c r="A22" s="47" t="s">
        <v>181</v>
      </c>
      <c r="B22" s="46" t="s">
        <v>142</v>
      </c>
      <c r="C22" s="43"/>
      <c r="D22" s="43"/>
      <c r="E22" s="43">
        <v>2</v>
      </c>
      <c r="G22" s="124" t="s">
        <v>40</v>
      </c>
      <c r="H22" s="125" t="s">
        <v>198</v>
      </c>
      <c r="I22" s="125" t="s">
        <v>196</v>
      </c>
      <c r="J22" s="126">
        <v>1</v>
      </c>
      <c r="K22" s="126">
        <v>1</v>
      </c>
      <c r="L22" s="126">
        <v>2</v>
      </c>
      <c r="M22" s="126">
        <v>0</v>
      </c>
      <c r="N22" s="126">
        <v>2</v>
      </c>
      <c r="O22" s="126">
        <v>1</v>
      </c>
      <c r="P22" s="126">
        <v>2</v>
      </c>
      <c r="Q22" s="7">
        <f t="shared" si="0"/>
        <v>9</v>
      </c>
    </row>
    <row r="23" spans="1:17" ht="15.75" x14ac:dyDescent="0.25">
      <c r="A23" s="64">
        <v>100015130</v>
      </c>
      <c r="B23" s="46" t="s">
        <v>86</v>
      </c>
      <c r="C23" s="43"/>
      <c r="D23" s="43">
        <v>1</v>
      </c>
      <c r="E23" s="43"/>
      <c r="G23" s="124" t="s">
        <v>40</v>
      </c>
      <c r="H23" s="125" t="s">
        <v>198</v>
      </c>
      <c r="I23" s="125" t="s">
        <v>197</v>
      </c>
      <c r="J23" s="126">
        <v>0</v>
      </c>
      <c r="K23" s="126">
        <v>2</v>
      </c>
      <c r="L23" s="126">
        <v>0</v>
      </c>
      <c r="M23" s="126">
        <v>1</v>
      </c>
      <c r="N23" s="126">
        <v>1</v>
      </c>
      <c r="O23" s="126">
        <v>2</v>
      </c>
      <c r="P23" s="126">
        <v>2</v>
      </c>
      <c r="Q23" s="7">
        <f t="shared" si="0"/>
        <v>8</v>
      </c>
    </row>
    <row r="24" spans="1:17" ht="26.25" x14ac:dyDescent="0.25">
      <c r="A24" s="153" t="s">
        <v>159</v>
      </c>
      <c r="B24" s="154"/>
      <c r="C24" s="155" t="s">
        <v>182</v>
      </c>
      <c r="D24" s="155"/>
      <c r="E24" s="155"/>
      <c r="G24" s="156" t="s">
        <v>60</v>
      </c>
      <c r="H24" s="157"/>
      <c r="I24" s="158"/>
      <c r="J24" s="7">
        <f>SUM(J3:J23)</f>
        <v>3</v>
      </c>
      <c r="K24" s="7">
        <f t="shared" ref="K24:P24" si="1">SUM(K3:K23)</f>
        <v>23</v>
      </c>
      <c r="L24" s="7">
        <f t="shared" si="1"/>
        <v>4</v>
      </c>
      <c r="M24" s="7">
        <f t="shared" si="1"/>
        <v>3</v>
      </c>
      <c r="N24" s="7">
        <f t="shared" si="1"/>
        <v>4</v>
      </c>
      <c r="O24" s="7">
        <f t="shared" si="1"/>
        <v>5</v>
      </c>
      <c r="P24" s="7">
        <f t="shared" si="1"/>
        <v>6</v>
      </c>
      <c r="Q24" s="7">
        <f>SUM(Q3:Q23)</f>
        <v>48</v>
      </c>
    </row>
    <row r="25" spans="1:17" ht="15.75" thickBot="1" x14ac:dyDescent="0.3"/>
    <row r="26" spans="1:17" s="129" customFormat="1" ht="16.5" thickBot="1" x14ac:dyDescent="0.3">
      <c r="A26" s="127">
        <v>43171</v>
      </c>
      <c r="B26" s="128" t="s">
        <v>3</v>
      </c>
      <c r="C26" s="128">
        <v>77511</v>
      </c>
      <c r="D26" s="128">
        <v>8</v>
      </c>
      <c r="F26" s="130">
        <v>465184</v>
      </c>
      <c r="G26" s="130" t="s">
        <v>45</v>
      </c>
      <c r="H26" s="131">
        <v>20</v>
      </c>
    </row>
    <row r="27" spans="1:17" s="129" customFormat="1" ht="16.5" thickBot="1" x14ac:dyDescent="0.3">
      <c r="A27" s="132"/>
      <c r="B27" s="133"/>
      <c r="C27" s="133">
        <v>6969</v>
      </c>
      <c r="D27" s="133">
        <v>10</v>
      </c>
      <c r="F27" s="130">
        <v>468249</v>
      </c>
      <c r="G27" s="130" t="s">
        <v>46</v>
      </c>
      <c r="H27" s="131">
        <v>16</v>
      </c>
    </row>
    <row r="28" spans="1:17" s="129" customFormat="1" ht="16.5" thickBot="1" x14ac:dyDescent="0.3">
      <c r="A28" s="132"/>
      <c r="B28" s="133"/>
      <c r="C28" s="133">
        <v>24114</v>
      </c>
      <c r="D28" s="133">
        <v>10</v>
      </c>
      <c r="F28" s="130">
        <v>466852</v>
      </c>
      <c r="G28" s="130" t="s">
        <v>59</v>
      </c>
      <c r="H28" s="131">
        <v>8</v>
      </c>
    </row>
    <row r="29" spans="1:17" s="129" customFormat="1" ht="16.5" thickBot="1" x14ac:dyDescent="0.3">
      <c r="A29" s="132"/>
      <c r="B29" s="133"/>
      <c r="C29" s="133">
        <v>22985</v>
      </c>
      <c r="D29" s="133">
        <v>4</v>
      </c>
      <c r="F29" s="130">
        <v>468248</v>
      </c>
      <c r="G29" s="130" t="s">
        <v>59</v>
      </c>
      <c r="H29" s="131">
        <v>16</v>
      </c>
    </row>
    <row r="30" spans="1:17" s="129" customFormat="1" ht="16.5" thickBot="1" x14ac:dyDescent="0.3">
      <c r="A30" s="132"/>
      <c r="B30" s="133" t="s">
        <v>21</v>
      </c>
      <c r="C30" s="133">
        <v>21861</v>
      </c>
      <c r="D30" s="133">
        <v>4</v>
      </c>
      <c r="F30" s="130">
        <v>467914</v>
      </c>
      <c r="G30" s="130" t="s">
        <v>45</v>
      </c>
      <c r="H30" s="131">
        <v>8</v>
      </c>
    </row>
    <row r="31" spans="1:17" s="129" customFormat="1" ht="16.5" thickBot="1" x14ac:dyDescent="0.3">
      <c r="A31" s="132"/>
      <c r="B31" s="133"/>
      <c r="C31" s="133">
        <v>21859</v>
      </c>
      <c r="D31" s="133">
        <v>8</v>
      </c>
      <c r="F31" s="130">
        <v>463024</v>
      </c>
      <c r="G31" s="130" t="s">
        <v>59</v>
      </c>
      <c r="H31" s="131">
        <v>3</v>
      </c>
    </row>
    <row r="32" spans="1:17" s="129" customFormat="1" ht="16.5" thickBot="1" x14ac:dyDescent="0.3">
      <c r="A32" s="132"/>
      <c r="B32" s="133"/>
      <c r="C32" s="133">
        <v>10055</v>
      </c>
      <c r="D32" s="133">
        <v>2</v>
      </c>
      <c r="F32" s="130">
        <v>463022</v>
      </c>
      <c r="G32" s="130" t="s">
        <v>46</v>
      </c>
      <c r="H32" s="131">
        <v>2</v>
      </c>
    </row>
    <row r="33" spans="1:8" s="129" customFormat="1" ht="16.5" thickBot="1" x14ac:dyDescent="0.3">
      <c r="A33" s="134">
        <v>43186</v>
      </c>
      <c r="B33" s="133" t="s">
        <v>109</v>
      </c>
      <c r="C33" s="133">
        <v>365</v>
      </c>
      <c r="D33" s="133">
        <v>7</v>
      </c>
      <c r="F33" s="130">
        <v>457223</v>
      </c>
      <c r="G33" s="130" t="s">
        <v>46</v>
      </c>
      <c r="H33" s="131">
        <v>8</v>
      </c>
    </row>
    <row r="34" spans="1:8" s="129" customFormat="1" ht="15.75" x14ac:dyDescent="0.25">
      <c r="F34" s="130">
        <v>462511</v>
      </c>
      <c r="G34" s="130" t="s">
        <v>46</v>
      </c>
      <c r="H34" s="131">
        <v>12</v>
      </c>
    </row>
    <row r="35" spans="1:8" s="129" customFormat="1" ht="15.75" x14ac:dyDescent="0.25">
      <c r="F35" s="130">
        <v>468543</v>
      </c>
      <c r="G35" s="130" t="s">
        <v>46</v>
      </c>
      <c r="H35" s="131">
        <v>17</v>
      </c>
    </row>
    <row r="36" spans="1:8" s="129" customFormat="1" ht="15.75" x14ac:dyDescent="0.25">
      <c r="F36" s="130">
        <v>463029</v>
      </c>
      <c r="G36" s="130" t="s">
        <v>199</v>
      </c>
      <c r="H36" s="131">
        <v>13</v>
      </c>
    </row>
    <row r="37" spans="1:8" s="129" customFormat="1" ht="15.75" x14ac:dyDescent="0.25">
      <c r="F37" s="130">
        <v>468230</v>
      </c>
      <c r="G37" s="130" t="s">
        <v>199</v>
      </c>
      <c r="H37" s="131">
        <v>2</v>
      </c>
    </row>
    <row r="38" spans="1:8" s="129" customFormat="1" ht="15.75" x14ac:dyDescent="0.25">
      <c r="F38" s="130">
        <v>473750</v>
      </c>
      <c r="G38" s="130" t="s">
        <v>200</v>
      </c>
      <c r="H38" s="131">
        <v>8</v>
      </c>
    </row>
    <row r="39" spans="1:8" s="129" customFormat="1" ht="15.75" x14ac:dyDescent="0.25">
      <c r="F39" s="130">
        <v>473750</v>
      </c>
      <c r="G39" s="130" t="s">
        <v>199</v>
      </c>
      <c r="H39" s="131">
        <v>8</v>
      </c>
    </row>
    <row r="40" spans="1:8" s="129" customFormat="1" ht="15.75" x14ac:dyDescent="0.25">
      <c r="F40" s="130">
        <v>468229</v>
      </c>
      <c r="G40" s="130" t="s">
        <v>199</v>
      </c>
      <c r="H40" s="131">
        <v>9</v>
      </c>
    </row>
    <row r="41" spans="1:8" s="129" customFormat="1" ht="15.75" x14ac:dyDescent="0.25">
      <c r="F41" s="130">
        <v>461186</v>
      </c>
      <c r="G41" s="130" t="s">
        <v>45</v>
      </c>
      <c r="H41" s="131">
        <v>5</v>
      </c>
    </row>
    <row r="42" spans="1:8" s="129" customFormat="1" ht="15.75" x14ac:dyDescent="0.25">
      <c r="F42" s="130">
        <v>466459</v>
      </c>
      <c r="G42" s="130" t="s">
        <v>199</v>
      </c>
      <c r="H42" s="131">
        <v>4</v>
      </c>
    </row>
    <row r="43" spans="1:8" s="129" customFormat="1" ht="15.75" x14ac:dyDescent="0.25">
      <c r="F43" s="130">
        <v>466459</v>
      </c>
      <c r="G43" s="130" t="s">
        <v>201</v>
      </c>
      <c r="H43" s="131">
        <v>7</v>
      </c>
    </row>
    <row r="44" spans="1:8" s="129" customFormat="1" ht="15.75" x14ac:dyDescent="0.25">
      <c r="F44" s="130">
        <v>463036</v>
      </c>
      <c r="G44" s="130" t="s">
        <v>202</v>
      </c>
      <c r="H44" s="131">
        <v>4</v>
      </c>
    </row>
    <row r="45" spans="1:8" s="129" customFormat="1" ht="15.75" x14ac:dyDescent="0.25">
      <c r="F45" s="130">
        <v>463030</v>
      </c>
      <c r="G45" s="130" t="s">
        <v>45</v>
      </c>
      <c r="H45" s="131">
        <v>5</v>
      </c>
    </row>
  </sheetData>
  <autoFilter ref="A2:E24" xr:uid="{00000000-0009-0000-0000-000009000000}"/>
  <mergeCells count="4">
    <mergeCell ref="A1:E1"/>
    <mergeCell ref="A24:B24"/>
    <mergeCell ref="C24:E24"/>
    <mergeCell ref="G24:I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65"/>
  <sheetViews>
    <sheetView topLeftCell="A43" workbookViewId="0">
      <selection activeCell="A27" sqref="A27:K42"/>
    </sheetView>
  </sheetViews>
  <sheetFormatPr defaultRowHeight="15" x14ac:dyDescent="0.25"/>
  <cols>
    <col min="1" max="1" width="12.42578125" bestFit="1" customWidth="1"/>
    <col min="2" max="2" width="20.85546875" bestFit="1" customWidth="1"/>
    <col min="4" max="4" width="10.7109375" bestFit="1" customWidth="1"/>
    <col min="5" max="5" width="17.5703125" bestFit="1" customWidth="1"/>
    <col min="6" max="6" width="11.5703125" bestFit="1" customWidth="1"/>
    <col min="10" max="10" width="12" bestFit="1" customWidth="1"/>
    <col min="11" max="11" width="19.85546875" bestFit="1" customWidth="1"/>
    <col min="15" max="15" width="18.5703125" bestFit="1" customWidth="1"/>
  </cols>
  <sheetData>
    <row r="1" spans="1:15" ht="15.75" x14ac:dyDescent="0.25">
      <c r="A1" s="1" t="s">
        <v>25</v>
      </c>
      <c r="B1" s="1" t="s">
        <v>26</v>
      </c>
      <c r="C1" s="1" t="s">
        <v>27</v>
      </c>
      <c r="D1" s="1" t="s">
        <v>28</v>
      </c>
      <c r="E1" s="1" t="s">
        <v>29</v>
      </c>
      <c r="F1" s="1" t="s">
        <v>30</v>
      </c>
      <c r="G1" s="1" t="s">
        <v>31</v>
      </c>
      <c r="H1" s="1" t="s">
        <v>32</v>
      </c>
      <c r="I1" s="1" t="s">
        <v>33</v>
      </c>
      <c r="J1" s="1" t="s">
        <v>34</v>
      </c>
      <c r="K1" s="1" t="s">
        <v>35</v>
      </c>
      <c r="L1" s="1" t="s">
        <v>36</v>
      </c>
      <c r="M1" s="1" t="s">
        <v>37</v>
      </c>
      <c r="N1" s="1" t="s">
        <v>38</v>
      </c>
      <c r="O1" s="2" t="s">
        <v>39</v>
      </c>
    </row>
    <row r="2" spans="1:15" s="22" customFormat="1" ht="15.75" x14ac:dyDescent="0.25">
      <c r="A2" s="17" t="s">
        <v>40</v>
      </c>
      <c r="B2" s="17" t="s">
        <v>41</v>
      </c>
      <c r="C2" s="18">
        <v>43101</v>
      </c>
      <c r="D2" s="18">
        <v>43110</v>
      </c>
      <c r="E2" s="19" t="s">
        <v>42</v>
      </c>
      <c r="F2" s="17" t="s">
        <v>43</v>
      </c>
      <c r="G2" s="20"/>
      <c r="H2" s="20">
        <v>1</v>
      </c>
      <c r="I2" s="20">
        <v>1</v>
      </c>
      <c r="J2" s="20"/>
      <c r="K2" s="20"/>
      <c r="L2" s="20"/>
      <c r="M2" s="20"/>
      <c r="N2" s="21">
        <f>SUM(G2:M2)</f>
        <v>2</v>
      </c>
      <c r="O2" s="17" t="s">
        <v>44</v>
      </c>
    </row>
    <row r="3" spans="1:15" s="22" customFormat="1" ht="15.75" x14ac:dyDescent="0.25">
      <c r="A3" s="17" t="s">
        <v>40</v>
      </c>
      <c r="B3" s="17" t="s">
        <v>41</v>
      </c>
      <c r="C3" s="18">
        <v>43101</v>
      </c>
      <c r="D3" s="18">
        <v>43110</v>
      </c>
      <c r="E3" s="19" t="s">
        <v>42</v>
      </c>
      <c r="F3" s="17" t="s">
        <v>45</v>
      </c>
      <c r="G3" s="20">
        <v>1</v>
      </c>
      <c r="H3" s="20">
        <v>1</v>
      </c>
      <c r="I3" s="20">
        <v>1</v>
      </c>
      <c r="J3" s="20">
        <v>1</v>
      </c>
      <c r="K3" s="20"/>
      <c r="L3" s="20">
        <v>1</v>
      </c>
      <c r="M3" s="20"/>
      <c r="N3" s="21">
        <f t="shared" ref="N3:N25" si="0">SUM(G3:M3)</f>
        <v>5</v>
      </c>
      <c r="O3" s="17" t="s">
        <v>44</v>
      </c>
    </row>
    <row r="4" spans="1:15" s="22" customFormat="1" ht="15.75" x14ac:dyDescent="0.25">
      <c r="A4" s="17" t="s">
        <v>40</v>
      </c>
      <c r="B4" s="17" t="s">
        <v>41</v>
      </c>
      <c r="C4" s="18">
        <v>43101</v>
      </c>
      <c r="D4" s="18">
        <v>43110</v>
      </c>
      <c r="E4" s="19" t="s">
        <v>42</v>
      </c>
      <c r="F4" s="17" t="s">
        <v>46</v>
      </c>
      <c r="G4" s="20"/>
      <c r="H4" s="20">
        <v>2</v>
      </c>
      <c r="I4" s="20"/>
      <c r="J4" s="20"/>
      <c r="K4" s="20">
        <v>1</v>
      </c>
      <c r="L4" s="20">
        <v>1</v>
      </c>
      <c r="M4" s="20"/>
      <c r="N4" s="21">
        <f t="shared" si="0"/>
        <v>4</v>
      </c>
      <c r="O4" s="17" t="s">
        <v>44</v>
      </c>
    </row>
    <row r="5" spans="1:15" s="22" customFormat="1" ht="15.75" x14ac:dyDescent="0.25">
      <c r="A5" s="17" t="s">
        <v>40</v>
      </c>
      <c r="B5" s="17" t="s">
        <v>41</v>
      </c>
      <c r="C5" s="18">
        <v>43101</v>
      </c>
      <c r="D5" s="18">
        <v>43110</v>
      </c>
      <c r="E5" s="19" t="s">
        <v>42</v>
      </c>
      <c r="F5" s="17" t="s">
        <v>47</v>
      </c>
      <c r="G5" s="20">
        <v>1</v>
      </c>
      <c r="H5" s="20">
        <v>1</v>
      </c>
      <c r="I5" s="20">
        <v>1</v>
      </c>
      <c r="J5" s="20"/>
      <c r="K5" s="20">
        <v>1</v>
      </c>
      <c r="L5" s="20">
        <v>1</v>
      </c>
      <c r="M5" s="20"/>
      <c r="N5" s="21">
        <f t="shared" si="0"/>
        <v>5</v>
      </c>
      <c r="O5" s="17" t="s">
        <v>44</v>
      </c>
    </row>
    <row r="6" spans="1:15" s="22" customFormat="1" ht="15.75" x14ac:dyDescent="0.25">
      <c r="A6" s="17" t="s">
        <v>40</v>
      </c>
      <c r="B6" s="17" t="s">
        <v>41</v>
      </c>
      <c r="C6" s="18">
        <v>43101</v>
      </c>
      <c r="D6" s="18">
        <v>43113</v>
      </c>
      <c r="E6" s="19" t="s">
        <v>5</v>
      </c>
      <c r="F6" s="17" t="s">
        <v>45</v>
      </c>
      <c r="G6" s="20"/>
      <c r="H6" s="20">
        <v>1</v>
      </c>
      <c r="I6" s="20"/>
      <c r="J6" s="20"/>
      <c r="K6" s="20"/>
      <c r="L6" s="20"/>
      <c r="M6" s="20"/>
      <c r="N6" s="21">
        <f>SUM(G6:M6)</f>
        <v>1</v>
      </c>
      <c r="O6" s="17" t="s">
        <v>56</v>
      </c>
    </row>
    <row r="7" spans="1:15" ht="15.75" x14ac:dyDescent="0.25">
      <c r="A7" s="3" t="s">
        <v>40</v>
      </c>
      <c r="B7" s="3" t="s">
        <v>41</v>
      </c>
      <c r="C7" s="4">
        <v>43101</v>
      </c>
      <c r="D7" s="4">
        <v>43110</v>
      </c>
      <c r="E7" s="5" t="s">
        <v>48</v>
      </c>
      <c r="F7" s="3" t="s">
        <v>45</v>
      </c>
      <c r="G7" s="6"/>
      <c r="H7" s="6">
        <v>1</v>
      </c>
      <c r="I7" s="6">
        <v>1</v>
      </c>
      <c r="J7" s="6"/>
      <c r="K7" s="6"/>
      <c r="L7" s="6">
        <v>1</v>
      </c>
      <c r="M7" s="6"/>
      <c r="N7" s="7">
        <f t="shared" si="0"/>
        <v>3</v>
      </c>
      <c r="O7" s="2" t="s">
        <v>44</v>
      </c>
    </row>
    <row r="8" spans="1:15" ht="15.75" x14ac:dyDescent="0.25">
      <c r="A8" s="3" t="s">
        <v>40</v>
      </c>
      <c r="B8" s="3" t="s">
        <v>41</v>
      </c>
      <c r="C8" s="4">
        <v>43101</v>
      </c>
      <c r="D8" s="4">
        <v>43113</v>
      </c>
      <c r="E8" s="5" t="s">
        <v>17</v>
      </c>
      <c r="F8" s="3" t="s">
        <v>45</v>
      </c>
      <c r="G8" s="6"/>
      <c r="H8" s="6">
        <v>1</v>
      </c>
      <c r="I8" s="6"/>
      <c r="J8" s="6"/>
      <c r="K8" s="6"/>
      <c r="L8" s="6"/>
      <c r="M8" s="6"/>
      <c r="N8" s="7">
        <f>SUM(G8:M8)</f>
        <v>1</v>
      </c>
      <c r="O8" s="2" t="s">
        <v>56</v>
      </c>
    </row>
    <row r="9" spans="1:15" s="22" customFormat="1" ht="15.75" x14ac:dyDescent="0.25">
      <c r="A9" s="17" t="s">
        <v>40</v>
      </c>
      <c r="B9" s="17" t="s">
        <v>41</v>
      </c>
      <c r="C9" s="18">
        <v>43101</v>
      </c>
      <c r="D9" s="18">
        <v>43110</v>
      </c>
      <c r="E9" s="19" t="s">
        <v>49</v>
      </c>
      <c r="F9" s="17" t="s">
        <v>50</v>
      </c>
      <c r="G9" s="20"/>
      <c r="H9" s="20"/>
      <c r="I9" s="20">
        <v>1</v>
      </c>
      <c r="J9" s="20">
        <v>1</v>
      </c>
      <c r="K9" s="20"/>
      <c r="L9" s="20"/>
      <c r="M9" s="20"/>
      <c r="N9" s="21">
        <f t="shared" si="0"/>
        <v>2</v>
      </c>
      <c r="O9" s="17" t="s">
        <v>44</v>
      </c>
    </row>
    <row r="10" spans="1:15" s="22" customFormat="1" ht="15.75" x14ac:dyDescent="0.25">
      <c r="A10" s="17" t="s">
        <v>40</v>
      </c>
      <c r="B10" s="17" t="s">
        <v>41</v>
      </c>
      <c r="C10" s="18">
        <v>43101</v>
      </c>
      <c r="D10" s="18">
        <v>43110</v>
      </c>
      <c r="E10" s="19" t="s">
        <v>49</v>
      </c>
      <c r="F10" s="17" t="s">
        <v>47</v>
      </c>
      <c r="G10" s="20">
        <v>1</v>
      </c>
      <c r="H10" s="20">
        <v>1</v>
      </c>
      <c r="I10" s="20">
        <v>1</v>
      </c>
      <c r="J10" s="20"/>
      <c r="K10" s="20"/>
      <c r="L10" s="20"/>
      <c r="M10" s="20"/>
      <c r="N10" s="21">
        <f t="shared" si="0"/>
        <v>3</v>
      </c>
      <c r="O10" s="17" t="s">
        <v>44</v>
      </c>
    </row>
    <row r="11" spans="1:15" s="22" customFormat="1" ht="15.75" x14ac:dyDescent="0.25">
      <c r="A11" s="17" t="s">
        <v>40</v>
      </c>
      <c r="B11" s="17" t="s">
        <v>41</v>
      </c>
      <c r="C11" s="18">
        <v>43101</v>
      </c>
      <c r="D11" s="18">
        <v>43110</v>
      </c>
      <c r="E11" s="19" t="s">
        <v>49</v>
      </c>
      <c r="F11" s="17" t="s">
        <v>51</v>
      </c>
      <c r="G11" s="20"/>
      <c r="H11" s="20">
        <v>1</v>
      </c>
      <c r="I11" s="20">
        <v>1</v>
      </c>
      <c r="J11" s="20">
        <v>1</v>
      </c>
      <c r="K11" s="20"/>
      <c r="L11" s="20"/>
      <c r="M11" s="20">
        <v>1</v>
      </c>
      <c r="N11" s="21">
        <f t="shared" si="0"/>
        <v>4</v>
      </c>
      <c r="O11" s="17" t="s">
        <v>44</v>
      </c>
    </row>
    <row r="12" spans="1:15" s="22" customFormat="1" ht="15.75" x14ac:dyDescent="0.25">
      <c r="A12" s="17" t="s">
        <v>40</v>
      </c>
      <c r="B12" s="17" t="s">
        <v>41</v>
      </c>
      <c r="C12" s="18">
        <v>43101</v>
      </c>
      <c r="D12" s="18">
        <v>43110</v>
      </c>
      <c r="E12" s="19" t="s">
        <v>49</v>
      </c>
      <c r="F12" s="17" t="s">
        <v>52</v>
      </c>
      <c r="G12" s="20">
        <v>1</v>
      </c>
      <c r="H12" s="20"/>
      <c r="I12" s="20"/>
      <c r="J12" s="20">
        <v>1</v>
      </c>
      <c r="K12" s="20">
        <v>1</v>
      </c>
      <c r="L12" s="20"/>
      <c r="M12" s="20"/>
      <c r="N12" s="21">
        <f t="shared" si="0"/>
        <v>3</v>
      </c>
      <c r="O12" s="17" t="s">
        <v>44</v>
      </c>
    </row>
    <row r="13" spans="1:15" s="22" customFormat="1" ht="15.75" x14ac:dyDescent="0.25">
      <c r="A13" s="17" t="s">
        <v>40</v>
      </c>
      <c r="B13" s="17" t="s">
        <v>41</v>
      </c>
      <c r="C13" s="18">
        <v>43101</v>
      </c>
      <c r="D13" s="18">
        <v>43113</v>
      </c>
      <c r="E13" s="19" t="s">
        <v>18</v>
      </c>
      <c r="F13" s="17" t="s">
        <v>45</v>
      </c>
      <c r="G13" s="20"/>
      <c r="H13" s="20">
        <v>1</v>
      </c>
      <c r="I13" s="20"/>
      <c r="J13" s="20"/>
      <c r="K13" s="20"/>
      <c r="L13" s="20"/>
      <c r="M13" s="20"/>
      <c r="N13" s="21">
        <f>SUM(G13:M13)</f>
        <v>1</v>
      </c>
      <c r="O13" s="17" t="s">
        <v>56</v>
      </c>
    </row>
    <row r="14" spans="1:15" ht="15.75" x14ac:dyDescent="0.25">
      <c r="A14" s="3" t="s">
        <v>40</v>
      </c>
      <c r="B14" s="3" t="s">
        <v>41</v>
      </c>
      <c r="C14" s="4">
        <v>43101</v>
      </c>
      <c r="D14" s="4">
        <v>43110</v>
      </c>
      <c r="E14" s="5" t="s">
        <v>53</v>
      </c>
      <c r="F14" s="3" t="s">
        <v>43</v>
      </c>
      <c r="G14" s="6">
        <v>1</v>
      </c>
      <c r="H14" s="6">
        <v>1</v>
      </c>
      <c r="I14" s="6"/>
      <c r="J14" s="6"/>
      <c r="K14" s="6"/>
      <c r="L14" s="6">
        <v>1</v>
      </c>
      <c r="M14" s="6">
        <v>1</v>
      </c>
      <c r="N14" s="7">
        <f t="shared" si="0"/>
        <v>4</v>
      </c>
      <c r="O14" s="2" t="s">
        <v>44</v>
      </c>
    </row>
    <row r="15" spans="1:15" ht="15.75" x14ac:dyDescent="0.25">
      <c r="A15" s="3" t="s">
        <v>40</v>
      </c>
      <c r="B15" s="3" t="s">
        <v>41</v>
      </c>
      <c r="C15" s="4">
        <v>43101</v>
      </c>
      <c r="D15" s="4">
        <v>43110</v>
      </c>
      <c r="E15" s="5" t="s">
        <v>53</v>
      </c>
      <c r="F15" s="3" t="s">
        <v>45</v>
      </c>
      <c r="G15" s="6">
        <v>1</v>
      </c>
      <c r="H15" s="6">
        <v>1</v>
      </c>
      <c r="I15" s="6">
        <v>1</v>
      </c>
      <c r="J15" s="6"/>
      <c r="K15" s="6"/>
      <c r="L15" s="6">
        <v>1</v>
      </c>
      <c r="M15" s="6"/>
      <c r="N15" s="7">
        <f t="shared" si="0"/>
        <v>4</v>
      </c>
      <c r="O15" s="2" t="s">
        <v>44</v>
      </c>
    </row>
    <row r="16" spans="1:15" ht="15.75" x14ac:dyDescent="0.25">
      <c r="A16" s="3" t="s">
        <v>40</v>
      </c>
      <c r="B16" s="3" t="s">
        <v>41</v>
      </c>
      <c r="C16" s="4">
        <v>43101</v>
      </c>
      <c r="D16" s="4">
        <v>43113</v>
      </c>
      <c r="E16" s="5" t="s">
        <v>6</v>
      </c>
      <c r="F16" s="3" t="s">
        <v>45</v>
      </c>
      <c r="G16" s="6"/>
      <c r="H16" s="6">
        <v>1</v>
      </c>
      <c r="I16" s="6"/>
      <c r="J16" s="6"/>
      <c r="K16" s="6"/>
      <c r="L16" s="6"/>
      <c r="M16" s="6"/>
      <c r="N16" s="7">
        <f>SUM(G16:M16)</f>
        <v>1</v>
      </c>
      <c r="O16" s="2" t="s">
        <v>56</v>
      </c>
    </row>
    <row r="17" spans="1:18" ht="15.75" x14ac:dyDescent="0.25">
      <c r="A17" s="3" t="s">
        <v>40</v>
      </c>
      <c r="B17" s="3" t="s">
        <v>41</v>
      </c>
      <c r="C17" s="4">
        <v>43101</v>
      </c>
      <c r="D17" s="4">
        <v>43110</v>
      </c>
      <c r="E17" s="5" t="s">
        <v>53</v>
      </c>
      <c r="F17" s="3" t="s">
        <v>46</v>
      </c>
      <c r="G17" s="6"/>
      <c r="H17" s="6">
        <v>1</v>
      </c>
      <c r="I17" s="6"/>
      <c r="J17" s="6"/>
      <c r="K17" s="6"/>
      <c r="L17" s="6">
        <v>1</v>
      </c>
      <c r="M17" s="6"/>
      <c r="N17" s="7">
        <f t="shared" si="0"/>
        <v>2</v>
      </c>
      <c r="O17" s="2" t="s">
        <v>44</v>
      </c>
    </row>
    <row r="18" spans="1:18" s="22" customFormat="1" ht="15.75" x14ac:dyDescent="0.25">
      <c r="A18" s="17" t="s">
        <v>40</v>
      </c>
      <c r="B18" s="17" t="s">
        <v>41</v>
      </c>
      <c r="C18" s="18">
        <v>43101</v>
      </c>
      <c r="D18" s="18">
        <v>43110</v>
      </c>
      <c r="E18" s="19" t="s">
        <v>54</v>
      </c>
      <c r="F18" s="17" t="s">
        <v>43</v>
      </c>
      <c r="G18" s="20"/>
      <c r="H18" s="20"/>
      <c r="I18" s="20"/>
      <c r="J18" s="20"/>
      <c r="K18" s="20"/>
      <c r="L18" s="20">
        <v>1</v>
      </c>
      <c r="M18" s="20">
        <v>1</v>
      </c>
      <c r="N18" s="21">
        <f t="shared" si="0"/>
        <v>2</v>
      </c>
      <c r="O18" s="17" t="s">
        <v>44</v>
      </c>
    </row>
    <row r="19" spans="1:18" s="22" customFormat="1" ht="15.75" x14ac:dyDescent="0.25">
      <c r="A19" s="17" t="s">
        <v>40</v>
      </c>
      <c r="B19" s="17" t="s">
        <v>41</v>
      </c>
      <c r="C19" s="18">
        <v>43101</v>
      </c>
      <c r="D19" s="18">
        <v>43110</v>
      </c>
      <c r="E19" s="19" t="s">
        <v>54</v>
      </c>
      <c r="F19" s="17" t="s">
        <v>45</v>
      </c>
      <c r="G19" s="20"/>
      <c r="H19" s="20"/>
      <c r="I19" s="20">
        <v>1</v>
      </c>
      <c r="J19" s="20"/>
      <c r="K19" s="20"/>
      <c r="L19" s="20"/>
      <c r="M19" s="20">
        <v>1</v>
      </c>
      <c r="N19" s="21">
        <f t="shared" si="0"/>
        <v>2</v>
      </c>
      <c r="O19" s="17" t="s">
        <v>44</v>
      </c>
    </row>
    <row r="20" spans="1:18" s="22" customFormat="1" ht="15.75" x14ac:dyDescent="0.25">
      <c r="A20" s="17" t="s">
        <v>40</v>
      </c>
      <c r="B20" s="17" t="s">
        <v>41</v>
      </c>
      <c r="C20" s="18">
        <v>43101</v>
      </c>
      <c r="D20" s="18">
        <v>43113</v>
      </c>
      <c r="E20" s="19" t="s">
        <v>16</v>
      </c>
      <c r="F20" s="17" t="s">
        <v>45</v>
      </c>
      <c r="G20" s="20"/>
      <c r="H20" s="20">
        <v>1</v>
      </c>
      <c r="I20" s="20"/>
      <c r="J20" s="20"/>
      <c r="K20" s="20"/>
      <c r="L20" s="20"/>
      <c r="M20" s="20"/>
      <c r="N20" s="21">
        <f>SUM(G20:M20)</f>
        <v>1</v>
      </c>
      <c r="O20" s="17" t="s">
        <v>56</v>
      </c>
    </row>
    <row r="21" spans="1:18" ht="15.75" x14ac:dyDescent="0.25">
      <c r="A21" s="3" t="s">
        <v>40</v>
      </c>
      <c r="B21" s="3" t="s">
        <v>41</v>
      </c>
      <c r="C21" s="4">
        <v>43101</v>
      </c>
      <c r="D21" s="4">
        <v>43110</v>
      </c>
      <c r="E21" s="5" t="s">
        <v>55</v>
      </c>
      <c r="F21" s="3" t="s">
        <v>45</v>
      </c>
      <c r="G21" s="6"/>
      <c r="H21" s="6"/>
      <c r="I21" s="6"/>
      <c r="J21" s="6"/>
      <c r="K21" s="6">
        <v>1</v>
      </c>
      <c r="L21" s="6"/>
      <c r="M21" s="6"/>
      <c r="N21" s="7">
        <f>SUM(G21:M21)</f>
        <v>1</v>
      </c>
      <c r="O21" s="2" t="s">
        <v>44</v>
      </c>
    </row>
    <row r="22" spans="1:18" s="22" customFormat="1" ht="15.75" x14ac:dyDescent="0.25">
      <c r="A22" s="17" t="s">
        <v>57</v>
      </c>
      <c r="B22" s="17" t="s">
        <v>41</v>
      </c>
      <c r="C22" s="18">
        <v>43109</v>
      </c>
      <c r="D22" s="18">
        <v>43110</v>
      </c>
      <c r="E22" s="19" t="s">
        <v>9</v>
      </c>
      <c r="F22" s="17" t="s">
        <v>58</v>
      </c>
      <c r="G22" s="20"/>
      <c r="H22" s="20">
        <v>1</v>
      </c>
      <c r="I22" s="20"/>
      <c r="J22" s="20"/>
      <c r="K22" s="20"/>
      <c r="L22" s="20"/>
      <c r="M22" s="20"/>
      <c r="N22" s="21">
        <f t="shared" si="0"/>
        <v>1</v>
      </c>
      <c r="O22" s="17" t="s">
        <v>44</v>
      </c>
    </row>
    <row r="23" spans="1:18" s="22" customFormat="1" ht="15.75" x14ac:dyDescent="0.25">
      <c r="A23" s="17" t="s">
        <v>57</v>
      </c>
      <c r="B23" s="17" t="s">
        <v>41</v>
      </c>
      <c r="C23" s="18">
        <v>43109</v>
      </c>
      <c r="D23" s="18">
        <v>43110</v>
      </c>
      <c r="E23" s="19" t="s">
        <v>9</v>
      </c>
      <c r="F23" s="17" t="s">
        <v>59</v>
      </c>
      <c r="G23" s="20"/>
      <c r="H23" s="20">
        <v>1</v>
      </c>
      <c r="I23" s="20"/>
      <c r="J23" s="20"/>
      <c r="K23" s="20"/>
      <c r="L23" s="20"/>
      <c r="M23" s="20"/>
      <c r="N23" s="21">
        <f t="shared" si="0"/>
        <v>1</v>
      </c>
      <c r="O23" s="17" t="s">
        <v>44</v>
      </c>
    </row>
    <row r="24" spans="1:18" s="22" customFormat="1" ht="15.75" x14ac:dyDescent="0.25">
      <c r="A24" s="17" t="s">
        <v>57</v>
      </c>
      <c r="B24" s="17" t="s">
        <v>41</v>
      </c>
      <c r="C24" s="18">
        <v>43109</v>
      </c>
      <c r="D24" s="18">
        <v>43113</v>
      </c>
      <c r="E24" s="19" t="s">
        <v>9</v>
      </c>
      <c r="F24" s="17" t="s">
        <v>59</v>
      </c>
      <c r="G24" s="20"/>
      <c r="H24" s="20">
        <v>1</v>
      </c>
      <c r="I24" s="20"/>
      <c r="J24" s="20"/>
      <c r="K24" s="20"/>
      <c r="L24" s="20"/>
      <c r="M24" s="20"/>
      <c r="N24" s="21">
        <f t="shared" si="0"/>
        <v>1</v>
      </c>
      <c r="O24" s="17" t="s">
        <v>56</v>
      </c>
    </row>
    <row r="25" spans="1:18" ht="15.75" x14ac:dyDescent="0.25">
      <c r="A25" s="156" t="s">
        <v>60</v>
      </c>
      <c r="B25" s="157"/>
      <c r="C25" s="157"/>
      <c r="D25" s="157"/>
      <c r="E25" s="157"/>
      <c r="F25" s="158"/>
      <c r="G25" s="7">
        <f t="shared" ref="G25:M25" si="1">SUM(G2:G24)</f>
        <v>6</v>
      </c>
      <c r="H25" s="7">
        <f t="shared" si="1"/>
        <v>19</v>
      </c>
      <c r="I25" s="7">
        <f t="shared" si="1"/>
        <v>9</v>
      </c>
      <c r="J25" s="7">
        <f t="shared" si="1"/>
        <v>4</v>
      </c>
      <c r="K25" s="7">
        <f t="shared" si="1"/>
        <v>4</v>
      </c>
      <c r="L25" s="7">
        <f t="shared" si="1"/>
        <v>8</v>
      </c>
      <c r="M25" s="7">
        <f t="shared" si="1"/>
        <v>4</v>
      </c>
      <c r="N25" s="7">
        <f t="shared" si="0"/>
        <v>54</v>
      </c>
      <c r="O25" s="2"/>
    </row>
    <row r="26" spans="1:18" ht="15.75" thickBot="1" x14ac:dyDescent="0.3"/>
    <row r="27" spans="1:18" ht="15.75" thickBot="1" x14ac:dyDescent="0.3">
      <c r="A27" s="8" t="s">
        <v>61</v>
      </c>
      <c r="B27" s="9" t="s">
        <v>30</v>
      </c>
      <c r="C27" s="9" t="s">
        <v>32</v>
      </c>
      <c r="D27" s="9" t="s">
        <v>33</v>
      </c>
      <c r="E27" s="9" t="s">
        <v>62</v>
      </c>
      <c r="F27" s="10">
        <v>4</v>
      </c>
      <c r="G27" s="10">
        <v>6</v>
      </c>
      <c r="H27" s="10">
        <v>8</v>
      </c>
      <c r="I27" s="10" t="s">
        <v>63</v>
      </c>
      <c r="J27" s="40" t="s">
        <v>61</v>
      </c>
      <c r="K27" s="40" t="s">
        <v>30</v>
      </c>
      <c r="L27" s="40" t="s">
        <v>32</v>
      </c>
      <c r="M27" s="40" t="s">
        <v>33</v>
      </c>
      <c r="N27" s="40" t="s">
        <v>62</v>
      </c>
      <c r="O27" s="40">
        <v>6</v>
      </c>
      <c r="P27" s="41">
        <v>8</v>
      </c>
      <c r="Q27" s="41" t="s">
        <v>127</v>
      </c>
      <c r="R27" s="40" t="s">
        <v>63</v>
      </c>
    </row>
    <row r="28" spans="1:18" ht="15.75" thickBot="1" x14ac:dyDescent="0.3">
      <c r="A28" s="11" t="s">
        <v>64</v>
      </c>
      <c r="B28" s="12" t="s">
        <v>65</v>
      </c>
      <c r="C28" s="12"/>
      <c r="D28" s="12"/>
      <c r="E28" s="12">
        <v>2</v>
      </c>
      <c r="F28" s="12"/>
      <c r="G28" s="13"/>
      <c r="H28" s="13"/>
      <c r="I28" s="12"/>
      <c r="J28" s="42" t="s">
        <v>128</v>
      </c>
      <c r="K28" s="43" t="s">
        <v>129</v>
      </c>
      <c r="L28" s="43">
        <v>2</v>
      </c>
      <c r="M28" s="43">
        <v>1</v>
      </c>
      <c r="N28" s="43">
        <v>2</v>
      </c>
      <c r="O28" s="44"/>
      <c r="P28" s="45"/>
      <c r="Q28" s="45"/>
      <c r="R28" s="43"/>
    </row>
    <row r="29" spans="1:18" ht="15.75" thickBot="1" x14ac:dyDescent="0.3">
      <c r="A29" s="11" t="s">
        <v>66</v>
      </c>
      <c r="B29" s="12" t="s">
        <v>67</v>
      </c>
      <c r="C29" s="12"/>
      <c r="D29" s="12"/>
      <c r="E29" s="12">
        <v>2</v>
      </c>
      <c r="F29" s="12"/>
      <c r="G29" s="13"/>
      <c r="H29" s="13"/>
      <c r="I29" s="12"/>
      <c r="J29" s="42">
        <v>100011933</v>
      </c>
      <c r="K29" s="43" t="s">
        <v>130</v>
      </c>
      <c r="L29" s="43">
        <v>2</v>
      </c>
      <c r="M29" s="43">
        <v>1</v>
      </c>
      <c r="N29" s="43"/>
      <c r="O29" s="44"/>
      <c r="P29" s="44"/>
      <c r="Q29" s="44"/>
      <c r="R29" s="43"/>
    </row>
    <row r="30" spans="1:18" ht="16.5" thickBot="1" x14ac:dyDescent="0.3">
      <c r="A30" s="11">
        <v>10008704</v>
      </c>
      <c r="B30" s="14" t="s">
        <v>68</v>
      </c>
      <c r="C30" s="12"/>
      <c r="D30" s="12"/>
      <c r="E30" s="12"/>
      <c r="F30" s="12"/>
      <c r="G30" s="13"/>
      <c r="H30" s="13"/>
      <c r="I30" s="12"/>
      <c r="J30" s="42">
        <v>100011933</v>
      </c>
      <c r="K30" s="46" t="s">
        <v>131</v>
      </c>
      <c r="L30" s="43">
        <v>2</v>
      </c>
      <c r="M30" s="43">
        <v>1</v>
      </c>
      <c r="N30" s="43"/>
      <c r="O30" s="44"/>
      <c r="P30" s="44"/>
      <c r="Q30" s="44"/>
      <c r="R30" s="43"/>
    </row>
    <row r="31" spans="1:18" ht="16.5" thickBot="1" x14ac:dyDescent="0.3">
      <c r="A31" s="11" t="s">
        <v>69</v>
      </c>
      <c r="B31" s="14" t="s">
        <v>70</v>
      </c>
      <c r="C31" s="12">
        <v>2</v>
      </c>
      <c r="D31" s="12">
        <v>1</v>
      </c>
      <c r="E31" s="12">
        <v>2</v>
      </c>
      <c r="F31" s="12"/>
      <c r="G31" s="13"/>
      <c r="H31" s="13"/>
      <c r="I31" s="12"/>
      <c r="J31" s="47">
        <v>100017330</v>
      </c>
      <c r="K31" s="46" t="s">
        <v>132</v>
      </c>
      <c r="L31" s="43">
        <v>2</v>
      </c>
      <c r="M31" s="43">
        <v>1</v>
      </c>
      <c r="N31" s="43"/>
      <c r="O31" s="44"/>
      <c r="P31" s="44"/>
      <c r="Q31" s="44"/>
      <c r="R31" s="43"/>
    </row>
    <row r="32" spans="1:18" ht="16.5" thickBot="1" x14ac:dyDescent="0.3">
      <c r="A32" s="11" t="s">
        <v>69</v>
      </c>
      <c r="B32" s="14" t="s">
        <v>71</v>
      </c>
      <c r="C32" s="12">
        <v>2</v>
      </c>
      <c r="D32" s="12">
        <v>1</v>
      </c>
      <c r="E32" s="12">
        <v>1</v>
      </c>
      <c r="F32" s="12"/>
      <c r="G32" s="13"/>
      <c r="H32" s="13"/>
      <c r="I32" s="12"/>
      <c r="J32" s="47" t="s">
        <v>133</v>
      </c>
      <c r="K32" s="46" t="s">
        <v>134</v>
      </c>
      <c r="L32" s="43">
        <v>2</v>
      </c>
      <c r="M32" s="43">
        <v>1</v>
      </c>
      <c r="N32" s="43">
        <v>2</v>
      </c>
      <c r="O32" s="44"/>
      <c r="P32" s="44"/>
      <c r="Q32" s="44"/>
      <c r="R32" s="43"/>
    </row>
    <row r="33" spans="1:18" ht="16.5" thickBot="1" x14ac:dyDescent="0.3">
      <c r="A33" s="11" t="s">
        <v>72</v>
      </c>
      <c r="B33" s="14" t="s">
        <v>73</v>
      </c>
      <c r="C33" s="12"/>
      <c r="D33" s="12"/>
      <c r="E33" s="12">
        <v>2</v>
      </c>
      <c r="F33" s="12"/>
      <c r="G33" s="13"/>
      <c r="H33" s="13"/>
      <c r="I33" s="12"/>
      <c r="J33" s="47" t="s">
        <v>135</v>
      </c>
      <c r="K33" s="46" t="s">
        <v>136</v>
      </c>
      <c r="L33" s="43">
        <v>2</v>
      </c>
      <c r="M33" s="43">
        <v>1</v>
      </c>
      <c r="N33" s="43">
        <v>2</v>
      </c>
      <c r="O33" s="44"/>
      <c r="P33" s="44"/>
      <c r="Q33" s="44"/>
      <c r="R33" s="43"/>
    </row>
    <row r="34" spans="1:18" ht="16.5" thickBot="1" x14ac:dyDescent="0.3">
      <c r="A34" s="11" t="s">
        <v>74</v>
      </c>
      <c r="B34" s="14" t="s">
        <v>75</v>
      </c>
      <c r="C34" s="12">
        <v>1</v>
      </c>
      <c r="D34" s="12">
        <v>1</v>
      </c>
      <c r="E34" s="12">
        <v>2</v>
      </c>
      <c r="F34" s="12"/>
      <c r="G34" s="13"/>
      <c r="H34" s="13"/>
      <c r="I34" s="12"/>
      <c r="J34" s="47" t="s">
        <v>137</v>
      </c>
      <c r="K34" s="46" t="s">
        <v>138</v>
      </c>
      <c r="L34" s="43">
        <v>2</v>
      </c>
      <c r="M34" s="43">
        <v>1</v>
      </c>
      <c r="N34" s="43">
        <v>1</v>
      </c>
      <c r="O34" s="44"/>
      <c r="P34" s="44"/>
      <c r="Q34" s="44"/>
      <c r="R34" s="43"/>
    </row>
    <row r="35" spans="1:18" ht="16.5" thickBot="1" x14ac:dyDescent="0.3">
      <c r="A35" s="11" t="s">
        <v>76</v>
      </c>
      <c r="B35" s="14" t="s">
        <v>77</v>
      </c>
      <c r="C35" s="12"/>
      <c r="D35" s="12"/>
      <c r="E35" s="12">
        <v>1</v>
      </c>
      <c r="F35" s="12"/>
      <c r="G35" s="13"/>
      <c r="H35" s="13"/>
      <c r="I35" s="12"/>
      <c r="J35" s="47" t="s">
        <v>139</v>
      </c>
      <c r="K35" s="46" t="s">
        <v>140</v>
      </c>
      <c r="L35" s="43">
        <v>2</v>
      </c>
      <c r="M35" s="43">
        <v>1</v>
      </c>
      <c r="N35" s="43">
        <v>2</v>
      </c>
      <c r="O35" s="44"/>
      <c r="P35" s="44"/>
      <c r="Q35" s="44"/>
      <c r="R35" s="43"/>
    </row>
    <row r="36" spans="1:18" ht="16.5" thickBot="1" x14ac:dyDescent="0.3">
      <c r="A36" s="11" t="s">
        <v>76</v>
      </c>
      <c r="B36" s="14" t="s">
        <v>78</v>
      </c>
      <c r="C36" s="12">
        <v>2</v>
      </c>
      <c r="D36" s="12">
        <v>1</v>
      </c>
      <c r="E36" s="12">
        <v>2</v>
      </c>
      <c r="F36" s="12"/>
      <c r="G36" s="13"/>
      <c r="H36" s="13"/>
      <c r="I36" s="12"/>
      <c r="J36" s="47" t="s">
        <v>139</v>
      </c>
      <c r="K36" s="46" t="s">
        <v>86</v>
      </c>
      <c r="L36" s="43"/>
      <c r="M36" s="43"/>
      <c r="N36" s="43">
        <v>2</v>
      </c>
      <c r="O36" s="44"/>
      <c r="P36" s="44"/>
      <c r="Q36" s="44"/>
      <c r="R36" s="43"/>
    </row>
    <row r="37" spans="1:18" ht="16.5" thickBot="1" x14ac:dyDescent="0.3">
      <c r="A37" s="11" t="s">
        <v>79</v>
      </c>
      <c r="B37" s="14" t="s">
        <v>80</v>
      </c>
      <c r="C37" s="12">
        <v>2</v>
      </c>
      <c r="D37" s="12">
        <v>1</v>
      </c>
      <c r="E37" s="12"/>
      <c r="F37" s="12"/>
      <c r="G37" s="13"/>
      <c r="H37" s="13"/>
      <c r="I37" s="12"/>
      <c r="J37" s="47">
        <v>100017251</v>
      </c>
      <c r="K37" s="46" t="s">
        <v>141</v>
      </c>
      <c r="L37" s="43">
        <v>2</v>
      </c>
      <c r="M37" s="43">
        <v>1</v>
      </c>
      <c r="N37" s="43"/>
      <c r="O37" s="44"/>
      <c r="P37" s="44"/>
      <c r="Q37" s="44"/>
      <c r="R37" s="43"/>
    </row>
    <row r="38" spans="1:18" ht="16.5" thickBot="1" x14ac:dyDescent="0.3">
      <c r="A38" s="11">
        <v>100008773</v>
      </c>
      <c r="B38" s="14" t="s">
        <v>81</v>
      </c>
      <c r="C38" s="12">
        <v>1</v>
      </c>
      <c r="D38" s="12">
        <v>1</v>
      </c>
      <c r="E38" s="12"/>
      <c r="F38" s="12"/>
      <c r="G38" s="13"/>
      <c r="H38" s="13"/>
      <c r="I38" s="12"/>
      <c r="J38" s="47">
        <v>100008746</v>
      </c>
      <c r="K38" s="46" t="s">
        <v>86</v>
      </c>
      <c r="L38" s="43">
        <v>1</v>
      </c>
      <c r="M38" s="43"/>
      <c r="N38" s="43"/>
      <c r="O38" s="44"/>
      <c r="P38" s="44"/>
      <c r="Q38" s="44"/>
      <c r="R38" s="43"/>
    </row>
    <row r="39" spans="1:18" ht="16.5" thickBot="1" x14ac:dyDescent="0.3">
      <c r="A39" s="11" t="s">
        <v>82</v>
      </c>
      <c r="B39" s="14" t="s">
        <v>83</v>
      </c>
      <c r="C39" s="12">
        <v>2</v>
      </c>
      <c r="D39" s="12">
        <v>1</v>
      </c>
      <c r="E39" s="12">
        <v>2</v>
      </c>
      <c r="F39" s="12"/>
      <c r="G39" s="13"/>
      <c r="H39" s="13"/>
      <c r="I39" s="12"/>
      <c r="J39" s="47">
        <v>100008746</v>
      </c>
      <c r="K39" s="46" t="s">
        <v>142</v>
      </c>
      <c r="L39" s="43">
        <v>2</v>
      </c>
      <c r="M39" s="43">
        <v>1</v>
      </c>
      <c r="N39" s="43"/>
      <c r="O39" s="44"/>
      <c r="P39" s="44"/>
      <c r="Q39" s="44"/>
      <c r="R39" s="43"/>
    </row>
    <row r="40" spans="1:18" ht="16.5" thickBot="1" x14ac:dyDescent="0.3">
      <c r="A40" s="11">
        <v>100016362</v>
      </c>
      <c r="B40" s="14" t="s">
        <v>84</v>
      </c>
      <c r="C40" s="12">
        <v>2</v>
      </c>
      <c r="D40" s="12">
        <v>1</v>
      </c>
      <c r="E40" s="12"/>
      <c r="F40" s="12"/>
      <c r="G40" s="13"/>
      <c r="H40" s="13"/>
      <c r="I40" s="12"/>
      <c r="J40" s="47" t="s">
        <v>143</v>
      </c>
      <c r="K40" s="46" t="s">
        <v>142</v>
      </c>
      <c r="L40" s="43">
        <v>1</v>
      </c>
      <c r="M40" s="43"/>
      <c r="N40" s="43">
        <v>2</v>
      </c>
      <c r="O40" s="44"/>
      <c r="P40" s="44"/>
      <c r="Q40" s="44"/>
      <c r="R40" s="43"/>
    </row>
    <row r="41" spans="1:18" ht="16.5" thickBot="1" x14ac:dyDescent="0.3">
      <c r="A41" s="11">
        <v>10008703</v>
      </c>
      <c r="B41" s="14" t="s">
        <v>85</v>
      </c>
      <c r="C41" s="12">
        <v>2</v>
      </c>
      <c r="D41" s="12">
        <v>1</v>
      </c>
      <c r="E41" s="12"/>
      <c r="F41" s="12"/>
      <c r="G41" s="13"/>
      <c r="H41" s="13"/>
      <c r="I41" s="12"/>
      <c r="J41" s="47">
        <v>7220</v>
      </c>
      <c r="K41" s="46" t="s">
        <v>86</v>
      </c>
      <c r="L41" s="43">
        <v>2</v>
      </c>
      <c r="M41" s="43">
        <v>1</v>
      </c>
      <c r="N41" s="43"/>
      <c r="O41" s="44"/>
      <c r="P41" s="44"/>
      <c r="Q41" s="44"/>
      <c r="R41" s="43"/>
    </row>
    <row r="42" spans="1:18" ht="16.5" thickBot="1" x14ac:dyDescent="0.3">
      <c r="A42" s="11">
        <v>10008702</v>
      </c>
      <c r="B42" s="14" t="s">
        <v>86</v>
      </c>
      <c r="C42" s="12">
        <v>2</v>
      </c>
      <c r="D42" s="12"/>
      <c r="E42" s="12">
        <v>2</v>
      </c>
      <c r="F42" s="12"/>
      <c r="G42" s="13"/>
      <c r="H42" s="13"/>
      <c r="I42" s="12"/>
      <c r="J42" s="47">
        <v>7220</v>
      </c>
      <c r="K42" s="46" t="s">
        <v>88</v>
      </c>
      <c r="L42" s="43"/>
      <c r="M42" s="43">
        <v>1</v>
      </c>
      <c r="N42" s="43"/>
      <c r="O42" s="44"/>
      <c r="P42" s="44"/>
      <c r="Q42" s="44"/>
      <c r="R42" s="43"/>
    </row>
    <row r="43" spans="1:18" ht="16.5" thickBot="1" x14ac:dyDescent="0.3">
      <c r="A43" s="11">
        <v>100008747</v>
      </c>
      <c r="B43" s="14" t="s">
        <v>86</v>
      </c>
      <c r="C43" s="12">
        <v>1</v>
      </c>
      <c r="D43" s="12">
        <v>1</v>
      </c>
      <c r="E43" s="12"/>
      <c r="F43" s="12"/>
      <c r="G43" s="13"/>
      <c r="H43" s="13"/>
      <c r="I43" s="12"/>
      <c r="J43" s="47">
        <v>7220</v>
      </c>
      <c r="K43" s="46" t="s">
        <v>142</v>
      </c>
      <c r="L43" s="43">
        <v>2</v>
      </c>
      <c r="M43" s="43">
        <v>1</v>
      </c>
      <c r="N43" s="43"/>
      <c r="O43" s="44"/>
      <c r="P43" s="44"/>
      <c r="Q43" s="44"/>
      <c r="R43" s="43"/>
    </row>
    <row r="44" spans="1:18" ht="16.5" thickBot="1" x14ac:dyDescent="0.3">
      <c r="A44" s="11">
        <v>100008747</v>
      </c>
      <c r="B44" s="14" t="s">
        <v>84</v>
      </c>
      <c r="C44" s="12">
        <v>2</v>
      </c>
      <c r="D44" s="12">
        <v>1</v>
      </c>
      <c r="E44" s="12"/>
      <c r="F44" s="12"/>
      <c r="G44" s="13"/>
      <c r="H44" s="13"/>
      <c r="I44" s="12"/>
      <c r="J44" s="47" t="s">
        <v>144</v>
      </c>
      <c r="K44" s="46" t="s">
        <v>145</v>
      </c>
      <c r="L44" s="43">
        <v>2</v>
      </c>
      <c r="M44" s="43">
        <v>1</v>
      </c>
      <c r="N44" s="43"/>
      <c r="O44" s="44"/>
      <c r="P44" s="44"/>
      <c r="Q44" s="44"/>
      <c r="R44" s="43"/>
    </row>
    <row r="45" spans="1:18" ht="16.5" thickBot="1" x14ac:dyDescent="0.3">
      <c r="A45" s="11">
        <v>100008747</v>
      </c>
      <c r="B45" s="14" t="s">
        <v>87</v>
      </c>
      <c r="C45" s="12"/>
      <c r="D45" s="12">
        <v>1</v>
      </c>
      <c r="E45" s="12"/>
      <c r="F45" s="12"/>
      <c r="G45" s="13"/>
      <c r="H45" s="13"/>
      <c r="I45" s="12"/>
      <c r="J45" s="47" t="s">
        <v>144</v>
      </c>
      <c r="K45" s="46" t="s">
        <v>146</v>
      </c>
      <c r="L45" s="43">
        <v>2</v>
      </c>
      <c r="M45" s="43">
        <v>1</v>
      </c>
      <c r="N45" s="43">
        <v>2</v>
      </c>
      <c r="O45" s="44"/>
      <c r="P45" s="44"/>
      <c r="Q45" s="44"/>
      <c r="R45" s="43"/>
    </row>
    <row r="46" spans="1:18" ht="16.5" thickBot="1" x14ac:dyDescent="0.3">
      <c r="A46" s="11" t="s">
        <v>19</v>
      </c>
      <c r="B46" s="14" t="s">
        <v>86</v>
      </c>
      <c r="C46" s="12">
        <v>2</v>
      </c>
      <c r="D46" s="12"/>
      <c r="E46" s="12"/>
      <c r="F46" s="12"/>
      <c r="G46" s="13"/>
      <c r="H46" s="13"/>
      <c r="I46" s="12"/>
      <c r="J46" s="47" t="s">
        <v>147</v>
      </c>
      <c r="K46" s="46" t="s">
        <v>86</v>
      </c>
      <c r="L46" s="43">
        <v>2</v>
      </c>
      <c r="M46" s="43">
        <v>1</v>
      </c>
      <c r="N46" s="43">
        <v>2</v>
      </c>
      <c r="O46" s="44"/>
      <c r="P46" s="44"/>
      <c r="Q46" s="44"/>
      <c r="R46" s="43"/>
    </row>
    <row r="47" spans="1:18" ht="16.5" thickBot="1" x14ac:dyDescent="0.3">
      <c r="A47" s="11" t="s">
        <v>19</v>
      </c>
      <c r="B47" s="14" t="s">
        <v>88</v>
      </c>
      <c r="C47" s="12">
        <v>2</v>
      </c>
      <c r="D47" s="12"/>
      <c r="E47" s="12"/>
      <c r="F47" s="12"/>
      <c r="G47" s="13"/>
      <c r="H47" s="13"/>
      <c r="I47" s="12"/>
      <c r="J47" s="47" t="s">
        <v>148</v>
      </c>
      <c r="K47" s="46" t="s">
        <v>149</v>
      </c>
      <c r="L47" s="43">
        <v>2</v>
      </c>
      <c r="M47" s="43">
        <v>1</v>
      </c>
      <c r="N47" s="43">
        <v>2</v>
      </c>
      <c r="O47" s="44"/>
      <c r="P47" s="44"/>
      <c r="Q47" s="44"/>
      <c r="R47" s="43"/>
    </row>
    <row r="48" spans="1:18" ht="16.5" thickBot="1" x14ac:dyDescent="0.3">
      <c r="A48" s="11">
        <v>100008624</v>
      </c>
      <c r="B48" s="14" t="s">
        <v>89</v>
      </c>
      <c r="C48" s="12">
        <v>2</v>
      </c>
      <c r="D48" s="12">
        <v>1</v>
      </c>
      <c r="E48" s="12">
        <v>2</v>
      </c>
      <c r="F48" s="12"/>
      <c r="G48" s="13"/>
      <c r="H48" s="13"/>
      <c r="I48" s="12"/>
      <c r="J48" s="47" t="s">
        <v>150</v>
      </c>
      <c r="K48" s="46" t="s">
        <v>151</v>
      </c>
      <c r="L48" s="43">
        <v>2</v>
      </c>
      <c r="M48" s="43">
        <v>1</v>
      </c>
      <c r="N48" s="43"/>
      <c r="O48" s="43"/>
      <c r="P48" s="43"/>
      <c r="Q48" s="43"/>
      <c r="R48" s="43"/>
    </row>
    <row r="49" spans="1:18" ht="16.5" thickBot="1" x14ac:dyDescent="0.3">
      <c r="A49" s="11">
        <v>100009618</v>
      </c>
      <c r="B49" s="14" t="s">
        <v>90</v>
      </c>
      <c r="C49" s="12">
        <v>1</v>
      </c>
      <c r="D49" s="12">
        <v>1</v>
      </c>
      <c r="E49" s="12"/>
      <c r="F49" s="12"/>
      <c r="G49" s="13"/>
      <c r="H49" s="13"/>
      <c r="I49" s="12"/>
      <c r="J49" s="47" t="s">
        <v>152</v>
      </c>
      <c r="K49" s="46" t="s">
        <v>153</v>
      </c>
      <c r="L49" s="43">
        <v>2</v>
      </c>
      <c r="M49" s="43">
        <v>1</v>
      </c>
      <c r="N49" s="43">
        <v>2</v>
      </c>
      <c r="O49" s="43"/>
      <c r="P49" s="43"/>
      <c r="Q49" s="43"/>
      <c r="R49" s="43"/>
    </row>
    <row r="50" spans="1:18" ht="16.5" thickBot="1" x14ac:dyDescent="0.3">
      <c r="A50" s="11">
        <v>100009618</v>
      </c>
      <c r="B50" s="14" t="s">
        <v>91</v>
      </c>
      <c r="C50" s="12"/>
      <c r="D50" s="12">
        <v>1</v>
      </c>
      <c r="E50" s="12"/>
      <c r="F50" s="12"/>
      <c r="G50" s="13"/>
      <c r="H50" s="13"/>
      <c r="I50" s="12"/>
      <c r="J50" s="47" t="s">
        <v>154</v>
      </c>
      <c r="K50" s="46" t="s">
        <v>86</v>
      </c>
      <c r="L50" s="54"/>
      <c r="M50" s="54"/>
      <c r="N50" s="54"/>
      <c r="O50" s="54"/>
      <c r="P50" s="54"/>
      <c r="Q50" s="54"/>
      <c r="R50" s="54"/>
    </row>
    <row r="51" spans="1:18" ht="16.5" thickBot="1" x14ac:dyDescent="0.3">
      <c r="A51" s="11">
        <v>100008587</v>
      </c>
      <c r="B51" s="14" t="s">
        <v>92</v>
      </c>
      <c r="C51" s="12">
        <v>2</v>
      </c>
      <c r="D51" s="12">
        <v>1</v>
      </c>
      <c r="E51" s="12"/>
      <c r="F51" s="12"/>
      <c r="G51" s="13"/>
      <c r="H51" s="13"/>
      <c r="I51" s="12"/>
      <c r="J51" s="47">
        <v>100004407</v>
      </c>
      <c r="K51" s="46" t="s">
        <v>99</v>
      </c>
      <c r="L51" s="54"/>
      <c r="M51" s="54"/>
      <c r="N51" s="54"/>
      <c r="O51" s="54"/>
      <c r="P51" s="54"/>
      <c r="Q51" s="54"/>
      <c r="R51" s="54"/>
    </row>
    <row r="52" spans="1:18" ht="16.5" thickBot="1" x14ac:dyDescent="0.3">
      <c r="A52" s="11">
        <v>100008588</v>
      </c>
      <c r="B52" s="14" t="s">
        <v>93</v>
      </c>
      <c r="C52" s="12">
        <v>1</v>
      </c>
      <c r="D52" s="12">
        <v>1</v>
      </c>
      <c r="E52" s="12"/>
      <c r="F52" s="12"/>
      <c r="G52" s="13"/>
      <c r="H52" s="13"/>
      <c r="I52" s="12"/>
      <c r="J52" s="47">
        <v>100008598</v>
      </c>
      <c r="K52" s="46" t="s">
        <v>86</v>
      </c>
      <c r="L52" s="54"/>
      <c r="M52" s="54"/>
      <c r="N52" s="54"/>
      <c r="O52" s="54"/>
      <c r="P52" s="54"/>
      <c r="Q52" s="54"/>
      <c r="R52" s="54"/>
    </row>
    <row r="53" spans="1:18" ht="16.5" thickBot="1" x14ac:dyDescent="0.3">
      <c r="A53" s="11">
        <v>100008562</v>
      </c>
      <c r="B53" s="14" t="s">
        <v>94</v>
      </c>
      <c r="C53" s="12">
        <v>2</v>
      </c>
      <c r="D53" s="12"/>
      <c r="E53" s="12">
        <v>1</v>
      </c>
      <c r="F53" s="12"/>
      <c r="G53" s="13"/>
      <c r="H53" s="13"/>
      <c r="I53" s="12"/>
      <c r="J53" s="47">
        <v>100008604</v>
      </c>
      <c r="K53" s="46" t="s">
        <v>155</v>
      </c>
      <c r="L53" s="43">
        <v>2</v>
      </c>
      <c r="M53" s="43">
        <v>1</v>
      </c>
      <c r="N53" s="43">
        <v>2</v>
      </c>
      <c r="O53" s="43"/>
      <c r="P53" s="43"/>
      <c r="Q53" s="43"/>
      <c r="R53" s="43"/>
    </row>
    <row r="54" spans="1:18" ht="16.5" thickBot="1" x14ac:dyDescent="0.3">
      <c r="A54" s="11">
        <v>100008652</v>
      </c>
      <c r="B54" s="14" t="s">
        <v>86</v>
      </c>
      <c r="C54" s="12"/>
      <c r="D54" s="12"/>
      <c r="E54" s="12"/>
      <c r="F54" s="12">
        <v>1</v>
      </c>
      <c r="G54" s="13"/>
      <c r="H54" s="13"/>
      <c r="I54" s="12"/>
      <c r="J54" s="47" t="s">
        <v>156</v>
      </c>
      <c r="K54" s="46" t="s">
        <v>142</v>
      </c>
      <c r="L54" s="43"/>
      <c r="M54" s="43"/>
      <c r="N54" s="43"/>
      <c r="O54" s="43"/>
      <c r="P54" s="43"/>
      <c r="Q54" s="43">
        <v>1</v>
      </c>
      <c r="R54" s="43">
        <v>1</v>
      </c>
    </row>
    <row r="55" spans="1:18" ht="16.5" thickBot="1" x14ac:dyDescent="0.3">
      <c r="A55" s="11">
        <v>100008652</v>
      </c>
      <c r="B55" s="14" t="s">
        <v>84</v>
      </c>
      <c r="C55" s="12"/>
      <c r="D55" s="12"/>
      <c r="E55" s="12"/>
      <c r="F55" s="12"/>
      <c r="G55" s="12">
        <v>1</v>
      </c>
      <c r="H55" s="12">
        <v>2</v>
      </c>
      <c r="I55" s="12"/>
      <c r="J55" s="47" t="s">
        <v>156</v>
      </c>
      <c r="K55" s="46" t="s">
        <v>86</v>
      </c>
      <c r="L55" s="43"/>
      <c r="M55" s="43"/>
      <c r="N55" s="43"/>
      <c r="O55" s="43"/>
      <c r="P55" s="43">
        <v>2</v>
      </c>
      <c r="Q55" s="43">
        <v>2</v>
      </c>
      <c r="R55" s="43"/>
    </row>
    <row r="56" spans="1:18" ht="16.5" thickBot="1" x14ac:dyDescent="0.3">
      <c r="A56" s="11">
        <v>10008653</v>
      </c>
      <c r="B56" s="14" t="s">
        <v>95</v>
      </c>
      <c r="C56" s="12"/>
      <c r="D56" s="12"/>
      <c r="E56" s="12"/>
      <c r="F56" s="12"/>
      <c r="G56" s="15">
        <v>1</v>
      </c>
      <c r="H56" s="15">
        <v>2</v>
      </c>
      <c r="I56" s="12"/>
      <c r="J56" s="47">
        <v>68416</v>
      </c>
      <c r="K56" s="46" t="s">
        <v>86</v>
      </c>
      <c r="L56" s="43"/>
      <c r="M56" s="43"/>
      <c r="N56" s="43"/>
      <c r="O56" s="43">
        <v>1</v>
      </c>
      <c r="P56" s="43">
        <v>1</v>
      </c>
      <c r="Q56" s="43"/>
      <c r="R56" s="43"/>
    </row>
    <row r="57" spans="1:18" ht="16.5" thickBot="1" x14ac:dyDescent="0.3">
      <c r="A57" s="11">
        <v>10008653</v>
      </c>
      <c r="B57" s="14" t="s">
        <v>96</v>
      </c>
      <c r="C57" s="12"/>
      <c r="D57" s="12"/>
      <c r="E57" s="12"/>
      <c r="F57" s="12">
        <v>1</v>
      </c>
      <c r="G57" s="12">
        <v>1</v>
      </c>
      <c r="H57" s="12">
        <v>2</v>
      </c>
      <c r="I57" s="12">
        <v>2</v>
      </c>
      <c r="J57" s="47">
        <v>68416</v>
      </c>
      <c r="K57" s="46" t="s">
        <v>157</v>
      </c>
      <c r="L57" s="43"/>
      <c r="M57" s="43"/>
      <c r="N57" s="43"/>
      <c r="O57" s="43">
        <v>1</v>
      </c>
      <c r="P57" s="43"/>
      <c r="Q57" s="43"/>
      <c r="R57" s="43"/>
    </row>
    <row r="58" spans="1:18" ht="16.5" thickBot="1" x14ac:dyDescent="0.3">
      <c r="A58" s="11">
        <v>1000016323</v>
      </c>
      <c r="B58" s="14" t="s">
        <v>97</v>
      </c>
      <c r="C58" s="12">
        <v>2</v>
      </c>
      <c r="D58" s="12">
        <v>1</v>
      </c>
      <c r="E58" s="12">
        <v>2</v>
      </c>
      <c r="F58" s="12"/>
      <c r="G58" s="12"/>
      <c r="H58" s="12"/>
      <c r="I58" s="12"/>
      <c r="J58" s="47">
        <v>100016362</v>
      </c>
      <c r="K58" s="46" t="s">
        <v>142</v>
      </c>
      <c r="L58" s="43">
        <v>2</v>
      </c>
      <c r="M58" s="43"/>
      <c r="N58" s="43"/>
      <c r="O58" s="43"/>
      <c r="P58" s="43"/>
      <c r="Q58" s="43"/>
      <c r="R58" s="43"/>
    </row>
    <row r="59" spans="1:18" ht="16.5" thickBot="1" x14ac:dyDescent="0.3">
      <c r="A59" s="11" t="s">
        <v>20</v>
      </c>
      <c r="B59" s="14" t="s">
        <v>98</v>
      </c>
      <c r="C59" s="12"/>
      <c r="D59" s="12"/>
      <c r="E59" s="12"/>
      <c r="F59" s="12"/>
      <c r="G59" s="12">
        <v>2</v>
      </c>
      <c r="H59" s="12">
        <v>1</v>
      </c>
      <c r="I59" s="12"/>
      <c r="J59" s="47">
        <v>7999</v>
      </c>
      <c r="K59" s="46" t="s">
        <v>142</v>
      </c>
      <c r="L59" s="43">
        <v>2</v>
      </c>
      <c r="M59" s="43">
        <v>1</v>
      </c>
      <c r="N59" s="43"/>
      <c r="O59" s="43"/>
      <c r="P59" s="43"/>
      <c r="Q59" s="43"/>
      <c r="R59" s="43"/>
    </row>
    <row r="60" spans="1:18" ht="16.5" thickBot="1" x14ac:dyDescent="0.3">
      <c r="A60" s="11">
        <v>100004407</v>
      </c>
      <c r="B60" s="14" t="s">
        <v>99</v>
      </c>
      <c r="C60" s="12"/>
      <c r="D60" s="12"/>
      <c r="E60" s="12">
        <v>2</v>
      </c>
      <c r="F60" s="12"/>
      <c r="G60" s="12"/>
      <c r="H60" s="12"/>
      <c r="I60" s="12"/>
      <c r="J60" s="47" t="s">
        <v>19</v>
      </c>
      <c r="K60" s="46" t="s">
        <v>142</v>
      </c>
      <c r="L60" s="43">
        <v>2</v>
      </c>
      <c r="M60" s="43">
        <v>1</v>
      </c>
      <c r="N60" s="43"/>
      <c r="O60" s="43"/>
      <c r="P60" s="43"/>
      <c r="Q60" s="43"/>
      <c r="R60" s="43"/>
    </row>
    <row r="61" spans="1:18" ht="15.75" x14ac:dyDescent="0.25">
      <c r="A61" s="16"/>
      <c r="B61" s="16"/>
      <c r="C61" s="159">
        <f>SUM(C28:I60)</f>
        <v>94</v>
      </c>
      <c r="D61" s="159"/>
      <c r="E61" s="159"/>
      <c r="F61" s="159"/>
      <c r="G61" s="159"/>
      <c r="H61" s="159"/>
      <c r="I61" s="159"/>
      <c r="J61" s="48" t="s">
        <v>158</v>
      </c>
      <c r="K61" s="46" t="s">
        <v>142</v>
      </c>
      <c r="L61" s="43"/>
      <c r="M61" s="43"/>
      <c r="N61" s="43">
        <v>2</v>
      </c>
      <c r="O61" s="43"/>
      <c r="P61" s="43"/>
      <c r="Q61" s="43"/>
      <c r="R61" s="43"/>
    </row>
    <row r="62" spans="1:18" ht="15.75" x14ac:dyDescent="0.25">
      <c r="J62" s="48" t="s">
        <v>116</v>
      </c>
      <c r="K62" s="46" t="s">
        <v>81</v>
      </c>
      <c r="L62" s="43"/>
      <c r="M62" s="43"/>
      <c r="N62" s="43">
        <v>1</v>
      </c>
      <c r="O62" s="43"/>
      <c r="P62" s="43"/>
      <c r="Q62" s="43"/>
      <c r="R62" s="43"/>
    </row>
    <row r="63" spans="1:18" ht="15.75" x14ac:dyDescent="0.25">
      <c r="J63" s="48">
        <v>100008703</v>
      </c>
      <c r="K63" s="46" t="s">
        <v>85</v>
      </c>
      <c r="L63" s="43"/>
      <c r="M63" s="43"/>
      <c r="N63" s="43">
        <v>2</v>
      </c>
      <c r="O63" s="43"/>
      <c r="P63" s="43"/>
      <c r="Q63" s="43"/>
      <c r="R63" s="43"/>
    </row>
    <row r="64" spans="1:18" ht="15.75" x14ac:dyDescent="0.25">
      <c r="J64" s="47">
        <v>100004407</v>
      </c>
      <c r="K64" s="49" t="s">
        <v>99</v>
      </c>
      <c r="L64" s="43">
        <v>1</v>
      </c>
      <c r="M64" s="43">
        <v>1</v>
      </c>
      <c r="N64" s="43"/>
      <c r="O64" s="43"/>
      <c r="P64" s="43"/>
      <c r="Q64" s="43"/>
      <c r="R64" s="43"/>
    </row>
    <row r="65" spans="10:18" ht="26.25" x14ac:dyDescent="0.25">
      <c r="J65" s="153" t="s">
        <v>159</v>
      </c>
      <c r="K65" s="154"/>
      <c r="L65" s="155" t="s">
        <v>160</v>
      </c>
      <c r="M65" s="155"/>
      <c r="N65" s="155"/>
      <c r="O65" s="155"/>
      <c r="P65" s="155"/>
      <c r="Q65" s="155"/>
      <c r="R65" s="155"/>
    </row>
  </sheetData>
  <mergeCells count="4">
    <mergeCell ref="A25:F25"/>
    <mergeCell ref="C61:I61"/>
    <mergeCell ref="J65:K65"/>
    <mergeCell ref="L65:R65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A21" sqref="A21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K141"/>
  <sheetViews>
    <sheetView tabSelected="1" zoomScaleNormal="100" workbookViewId="0">
      <pane ySplit="4" topLeftCell="A5" activePane="bottomLeft" state="frozen"/>
      <selection pane="bottomLeft" activeCell="M74" sqref="M74"/>
    </sheetView>
  </sheetViews>
  <sheetFormatPr defaultColWidth="8" defaultRowHeight="15" x14ac:dyDescent="0.25"/>
  <cols>
    <col min="1" max="1" width="24.42578125" style="97" bestFit="1" customWidth="1"/>
    <col min="2" max="7" width="18.28515625" style="97" customWidth="1"/>
    <col min="8" max="8" width="13" style="97" bestFit="1" customWidth="1"/>
    <col min="9" max="9" width="10.28515625" style="97" bestFit="1" customWidth="1"/>
    <col min="10" max="11" width="10.85546875" style="97" customWidth="1"/>
    <col min="12" max="16384" width="8" style="97"/>
  </cols>
  <sheetData>
    <row r="1" spans="1:11" ht="16.5" x14ac:dyDescent="0.25">
      <c r="A1" s="151"/>
      <c r="B1" s="151"/>
      <c r="C1" s="151"/>
      <c r="D1" s="151"/>
      <c r="E1" s="151"/>
      <c r="F1" s="151"/>
      <c r="G1" s="151"/>
      <c r="H1" s="151"/>
      <c r="I1" s="160"/>
    </row>
    <row r="2" spans="1:11" ht="16.5" x14ac:dyDescent="0.25">
      <c r="A2" s="161"/>
      <c r="B2" s="161"/>
      <c r="C2" s="161"/>
      <c r="D2" s="161"/>
      <c r="E2" s="161"/>
      <c r="F2" s="161"/>
      <c r="G2" s="161"/>
      <c r="H2" s="161"/>
      <c r="I2" s="161"/>
    </row>
    <row r="3" spans="1:11" ht="16.5" x14ac:dyDescent="0.25">
      <c r="A3" s="135"/>
      <c r="B3" s="136">
        <f t="shared" ref="B3:I3" si="0">SUBTOTAL(9,B5:B140)</f>
        <v>166221</v>
      </c>
      <c r="C3" s="136">
        <f t="shared" si="0"/>
        <v>384995</v>
      </c>
      <c r="D3" s="136">
        <f t="shared" si="0"/>
        <v>-217</v>
      </c>
      <c r="E3" s="136">
        <f t="shared" si="0"/>
        <v>361241</v>
      </c>
      <c r="F3" s="136">
        <f t="shared" si="0"/>
        <v>184933</v>
      </c>
      <c r="G3" s="136">
        <f t="shared" si="0"/>
        <v>4157</v>
      </c>
      <c r="H3" s="136">
        <f t="shared" si="0"/>
        <v>614</v>
      </c>
      <c r="I3" s="136">
        <f t="shared" si="0"/>
        <v>54</v>
      </c>
      <c r="K3" s="97">
        <f>4157+217</f>
        <v>4374</v>
      </c>
    </row>
    <row r="4" spans="1:11" ht="16.5" x14ac:dyDescent="0.25">
      <c r="A4" s="23" t="s">
        <v>100</v>
      </c>
      <c r="B4" s="24" t="s">
        <v>101</v>
      </c>
      <c r="C4" s="25" t="s">
        <v>102</v>
      </c>
      <c r="D4" s="26" t="s">
        <v>103</v>
      </c>
      <c r="E4" s="25" t="s">
        <v>104</v>
      </c>
      <c r="F4" s="27" t="s">
        <v>105</v>
      </c>
      <c r="G4" s="28" t="s">
        <v>106</v>
      </c>
      <c r="H4" s="29" t="s">
        <v>107</v>
      </c>
      <c r="I4" s="30" t="s">
        <v>108</v>
      </c>
    </row>
    <row r="5" spans="1:11" ht="16.5" x14ac:dyDescent="0.25">
      <c r="A5" s="31">
        <v>69717</v>
      </c>
      <c r="B5" s="32">
        <v>1878</v>
      </c>
      <c r="C5" s="33">
        <f>435+131+125+141+85+487+492+604</f>
        <v>2500</v>
      </c>
      <c r="D5" s="34"/>
      <c r="E5" s="35">
        <v>2370</v>
      </c>
      <c r="F5" s="66">
        <f t="shared" ref="F5:F59" si="1">+B5+C5+D5-E5-G5-H5-I5</f>
        <v>2008</v>
      </c>
      <c r="G5" s="36"/>
      <c r="H5" s="37"/>
      <c r="I5" s="38"/>
    </row>
    <row r="6" spans="1:11" ht="16.5" x14ac:dyDescent="0.25">
      <c r="A6" s="31">
        <v>74401</v>
      </c>
      <c r="B6" s="32">
        <v>6890</v>
      </c>
      <c r="C6" s="33">
        <f>195+364+192+153+90+302+2616+124-35</f>
        <v>4001</v>
      </c>
      <c r="D6" s="34"/>
      <c r="E6" s="35">
        <v>10748</v>
      </c>
      <c r="F6" s="55">
        <f t="shared" si="1"/>
        <v>0</v>
      </c>
      <c r="G6" s="36">
        <v>136</v>
      </c>
      <c r="H6" s="37">
        <v>7</v>
      </c>
      <c r="I6" s="38"/>
    </row>
    <row r="7" spans="1:11" ht="16.5" x14ac:dyDescent="0.25">
      <c r="A7" s="31">
        <v>68416</v>
      </c>
      <c r="B7" s="32">
        <v>197</v>
      </c>
      <c r="C7" s="33">
        <f>89+54+9+28+355+68+71+13+1</f>
        <v>688</v>
      </c>
      <c r="D7" s="34"/>
      <c r="E7" s="35">
        <v>864</v>
      </c>
      <c r="F7" s="55">
        <f t="shared" si="1"/>
        <v>0</v>
      </c>
      <c r="G7" s="36">
        <v>16</v>
      </c>
      <c r="H7" s="37">
        <v>5</v>
      </c>
      <c r="I7" s="38"/>
    </row>
    <row r="8" spans="1:11" ht="16.5" x14ac:dyDescent="0.25">
      <c r="A8" s="31">
        <v>7220</v>
      </c>
      <c r="B8" s="32"/>
      <c r="C8" s="33">
        <f>292+353+497</f>
        <v>1142</v>
      </c>
      <c r="D8" s="34"/>
      <c r="E8" s="35">
        <v>1116</v>
      </c>
      <c r="F8" s="55">
        <f t="shared" si="1"/>
        <v>0</v>
      </c>
      <c r="G8" s="36">
        <v>24</v>
      </c>
      <c r="H8" s="37">
        <v>2</v>
      </c>
      <c r="I8" s="38"/>
    </row>
    <row r="9" spans="1:11" ht="16.5" x14ac:dyDescent="0.25">
      <c r="A9" s="31" t="s">
        <v>240</v>
      </c>
      <c r="B9" s="32"/>
      <c r="C9" s="33">
        <v>6817</v>
      </c>
      <c r="D9" s="34"/>
      <c r="E9" s="35"/>
      <c r="F9" s="66">
        <f t="shared" si="1"/>
        <v>6817</v>
      </c>
      <c r="G9" s="36"/>
      <c r="H9" s="37"/>
      <c r="I9" s="38"/>
    </row>
    <row r="10" spans="1:11" ht="16.5" x14ac:dyDescent="0.25">
      <c r="A10" s="31" t="s">
        <v>188</v>
      </c>
      <c r="B10" s="32"/>
      <c r="C10" s="33">
        <v>2736</v>
      </c>
      <c r="D10" s="34"/>
      <c r="E10" s="35">
        <v>2736</v>
      </c>
      <c r="F10" s="66">
        <f t="shared" si="1"/>
        <v>0</v>
      </c>
      <c r="G10" s="36"/>
      <c r="H10" s="37"/>
      <c r="I10" s="38"/>
    </row>
    <row r="11" spans="1:11" ht="16.5" x14ac:dyDescent="0.25">
      <c r="A11" s="31">
        <v>2072</v>
      </c>
      <c r="B11" s="32"/>
      <c r="C11" s="33">
        <f>3156+5472</f>
        <v>8628</v>
      </c>
      <c r="D11" s="34"/>
      <c r="E11" s="35">
        <v>8568</v>
      </c>
      <c r="F11" s="66">
        <f t="shared" si="1"/>
        <v>60</v>
      </c>
      <c r="G11" s="36"/>
      <c r="H11" s="37"/>
      <c r="I11" s="38"/>
    </row>
    <row r="12" spans="1:11" ht="16.5" x14ac:dyDescent="0.25">
      <c r="A12" s="31">
        <v>73301</v>
      </c>
      <c r="B12" s="32"/>
      <c r="C12" s="33">
        <v>3600</v>
      </c>
      <c r="D12" s="34"/>
      <c r="E12" s="35">
        <v>3600</v>
      </c>
      <c r="F12" s="66">
        <f t="shared" si="1"/>
        <v>0</v>
      </c>
      <c r="G12" s="36"/>
      <c r="H12" s="37"/>
      <c r="I12" s="38"/>
    </row>
    <row r="13" spans="1:11" ht="16.5" x14ac:dyDescent="0.25">
      <c r="A13" s="31" t="s">
        <v>255</v>
      </c>
      <c r="B13" s="32"/>
      <c r="C13" s="33">
        <f>504+310+256+261</f>
        <v>1331</v>
      </c>
      <c r="D13" s="34"/>
      <c r="E13" s="35"/>
      <c r="F13" s="66">
        <f t="shared" si="1"/>
        <v>1331</v>
      </c>
      <c r="G13" s="36"/>
      <c r="H13" s="37"/>
      <c r="I13" s="38"/>
    </row>
    <row r="14" spans="1:11" ht="16.5" x14ac:dyDescent="0.25">
      <c r="A14" s="31" t="s">
        <v>257</v>
      </c>
      <c r="B14" s="32"/>
      <c r="C14" s="33">
        <v>3120</v>
      </c>
      <c r="D14" s="34"/>
      <c r="E14" s="35"/>
      <c r="F14" s="66">
        <f t="shared" si="1"/>
        <v>3120</v>
      </c>
      <c r="G14" s="36"/>
      <c r="H14" s="37"/>
      <c r="I14" s="38"/>
    </row>
    <row r="15" spans="1:11" ht="16.5" x14ac:dyDescent="0.25">
      <c r="A15" s="31" t="s">
        <v>258</v>
      </c>
      <c r="B15" s="32"/>
      <c r="C15" s="33">
        <f>4018+295</f>
        <v>4313</v>
      </c>
      <c r="D15" s="34"/>
      <c r="E15" s="35"/>
      <c r="F15" s="66">
        <f t="shared" si="1"/>
        <v>4313</v>
      </c>
      <c r="G15" s="36"/>
      <c r="H15" s="37"/>
      <c r="I15" s="38"/>
    </row>
    <row r="16" spans="1:11" ht="16.5" x14ac:dyDescent="0.25">
      <c r="A16" s="31">
        <v>100038686</v>
      </c>
      <c r="B16" s="32"/>
      <c r="C16" s="33">
        <v>322</v>
      </c>
      <c r="D16" s="34"/>
      <c r="E16" s="35"/>
      <c r="F16" s="66">
        <f t="shared" si="1"/>
        <v>322</v>
      </c>
      <c r="G16" s="36"/>
      <c r="H16" s="37"/>
      <c r="I16" s="38"/>
    </row>
    <row r="17" spans="1:9" ht="16.5" x14ac:dyDescent="0.25">
      <c r="A17" s="31">
        <v>100024464</v>
      </c>
      <c r="B17" s="32"/>
      <c r="C17" s="33">
        <v>2065</v>
      </c>
      <c r="D17" s="34"/>
      <c r="E17" s="35"/>
      <c r="F17" s="66">
        <f t="shared" si="1"/>
        <v>2065</v>
      </c>
      <c r="G17" s="36"/>
      <c r="H17" s="37"/>
      <c r="I17" s="38"/>
    </row>
    <row r="18" spans="1:9" ht="16.5" x14ac:dyDescent="0.25">
      <c r="A18" s="31">
        <v>100024455</v>
      </c>
      <c r="B18" s="32"/>
      <c r="C18" s="33">
        <v>402</v>
      </c>
      <c r="D18" s="34"/>
      <c r="E18" s="35"/>
      <c r="F18" s="66">
        <f t="shared" si="1"/>
        <v>402</v>
      </c>
      <c r="G18" s="36"/>
      <c r="H18" s="37"/>
      <c r="I18" s="38"/>
    </row>
    <row r="19" spans="1:9" ht="16.5" x14ac:dyDescent="0.25">
      <c r="A19" s="31">
        <v>100018225</v>
      </c>
      <c r="B19" s="32"/>
      <c r="C19" s="33">
        <v>255</v>
      </c>
      <c r="D19" s="34"/>
      <c r="E19" s="35"/>
      <c r="F19" s="66">
        <f t="shared" si="1"/>
        <v>255</v>
      </c>
      <c r="G19" s="36"/>
      <c r="H19" s="37"/>
      <c r="I19" s="38"/>
    </row>
    <row r="20" spans="1:9" ht="16.5" x14ac:dyDescent="0.25">
      <c r="A20" s="31">
        <v>100024824</v>
      </c>
      <c r="B20" s="32"/>
      <c r="C20" s="33">
        <v>1052</v>
      </c>
      <c r="D20" s="34"/>
      <c r="E20" s="35"/>
      <c r="F20" s="66">
        <f t="shared" si="1"/>
        <v>1052</v>
      </c>
      <c r="G20" s="36"/>
      <c r="H20" s="37"/>
      <c r="I20" s="38"/>
    </row>
    <row r="21" spans="1:9" ht="16.5" x14ac:dyDescent="0.25">
      <c r="A21" s="31">
        <v>100024806</v>
      </c>
      <c r="B21" s="32"/>
      <c r="C21" s="33">
        <v>2630</v>
      </c>
      <c r="D21" s="34"/>
      <c r="E21" s="35"/>
      <c r="F21" s="66">
        <f t="shared" si="1"/>
        <v>2630</v>
      </c>
      <c r="G21" s="36"/>
      <c r="H21" s="37"/>
      <c r="I21" s="38"/>
    </row>
    <row r="22" spans="1:9" ht="16.5" x14ac:dyDescent="0.25">
      <c r="A22" s="31">
        <v>100024454</v>
      </c>
      <c r="B22" s="32"/>
      <c r="C22" s="33">
        <v>1043</v>
      </c>
      <c r="D22" s="34"/>
      <c r="E22" s="35"/>
      <c r="F22" s="66">
        <f t="shared" si="1"/>
        <v>1043</v>
      </c>
      <c r="G22" s="36"/>
      <c r="H22" s="37"/>
      <c r="I22" s="38"/>
    </row>
    <row r="23" spans="1:9" ht="16.5" x14ac:dyDescent="0.25">
      <c r="A23" s="31">
        <v>100037673</v>
      </c>
      <c r="B23" s="32"/>
      <c r="C23" s="33">
        <f>1056+642</f>
        <v>1698</v>
      </c>
      <c r="D23" s="34"/>
      <c r="E23" s="35"/>
      <c r="F23" s="66">
        <f t="shared" si="1"/>
        <v>1698</v>
      </c>
      <c r="G23" s="36"/>
      <c r="H23" s="37"/>
      <c r="I23" s="38"/>
    </row>
    <row r="24" spans="1:9" ht="16.5" x14ac:dyDescent="0.25">
      <c r="A24" s="31">
        <v>100025039</v>
      </c>
      <c r="B24" s="32"/>
      <c r="C24" s="33">
        <f>2837+549+301</f>
        <v>3687</v>
      </c>
      <c r="D24" s="34"/>
      <c r="E24" s="35"/>
      <c r="F24" s="66">
        <f t="shared" si="1"/>
        <v>3687</v>
      </c>
      <c r="G24" s="36"/>
      <c r="H24" s="37"/>
      <c r="I24" s="38"/>
    </row>
    <row r="25" spans="1:9" ht="16.5" x14ac:dyDescent="0.25">
      <c r="A25" s="31">
        <v>100003506</v>
      </c>
      <c r="B25" s="32"/>
      <c r="C25" s="33">
        <f>2465+300</f>
        <v>2765</v>
      </c>
      <c r="D25" s="34"/>
      <c r="E25" s="35"/>
      <c r="F25" s="66">
        <f t="shared" si="1"/>
        <v>2765</v>
      </c>
      <c r="G25" s="36"/>
      <c r="H25" s="37"/>
      <c r="I25" s="38"/>
    </row>
    <row r="26" spans="1:9" ht="16.5" x14ac:dyDescent="0.25">
      <c r="A26" s="31">
        <v>100024819</v>
      </c>
      <c r="B26" s="32"/>
      <c r="C26" s="33">
        <v>345</v>
      </c>
      <c r="D26" s="34"/>
      <c r="E26" s="35"/>
      <c r="F26" s="66">
        <f t="shared" si="1"/>
        <v>345</v>
      </c>
      <c r="G26" s="36"/>
      <c r="H26" s="37"/>
      <c r="I26" s="38"/>
    </row>
    <row r="27" spans="1:9" ht="16.5" x14ac:dyDescent="0.25">
      <c r="A27" s="31">
        <v>100003599</v>
      </c>
      <c r="B27" s="32"/>
      <c r="C27" s="33">
        <v>4602</v>
      </c>
      <c r="D27" s="34"/>
      <c r="E27" s="35"/>
      <c r="F27" s="66">
        <f t="shared" si="1"/>
        <v>4602</v>
      </c>
      <c r="G27" s="36"/>
      <c r="H27" s="37"/>
      <c r="I27" s="38"/>
    </row>
    <row r="28" spans="1:9" ht="16.5" x14ac:dyDescent="0.25">
      <c r="A28" s="31">
        <v>100024853</v>
      </c>
      <c r="B28" s="32"/>
      <c r="C28" s="33">
        <f>1197+5385+366</f>
        <v>6948</v>
      </c>
      <c r="D28" s="34"/>
      <c r="E28" s="35"/>
      <c r="F28" s="66">
        <f t="shared" si="1"/>
        <v>6948</v>
      </c>
      <c r="G28" s="36"/>
      <c r="H28" s="37"/>
      <c r="I28" s="38"/>
    </row>
    <row r="29" spans="1:9" ht="16.5" x14ac:dyDescent="0.25">
      <c r="A29" s="31" t="s">
        <v>256</v>
      </c>
      <c r="B29" s="32"/>
      <c r="C29" s="33">
        <f>411+364</f>
        <v>775</v>
      </c>
      <c r="D29" s="34"/>
      <c r="E29" s="35"/>
      <c r="F29" s="66">
        <f t="shared" si="1"/>
        <v>775</v>
      </c>
      <c r="G29" s="36"/>
      <c r="H29" s="37"/>
      <c r="I29" s="38"/>
    </row>
    <row r="30" spans="1:9" ht="16.5" x14ac:dyDescent="0.25">
      <c r="A30" s="31" t="s">
        <v>267</v>
      </c>
      <c r="B30" s="32"/>
      <c r="C30" s="33">
        <v>1276</v>
      </c>
      <c r="D30" s="34"/>
      <c r="E30" s="35"/>
      <c r="F30" s="66">
        <f t="shared" si="1"/>
        <v>1276</v>
      </c>
      <c r="G30" s="36"/>
      <c r="H30" s="37"/>
      <c r="I30" s="38"/>
    </row>
    <row r="31" spans="1:9" ht="16.5" x14ac:dyDescent="0.25">
      <c r="A31" s="31">
        <v>100024820</v>
      </c>
      <c r="B31" s="32"/>
      <c r="C31" s="33">
        <f>6679+2160</f>
        <v>8839</v>
      </c>
      <c r="D31" s="34"/>
      <c r="E31" s="35"/>
      <c r="F31" s="66">
        <f t="shared" si="1"/>
        <v>8839</v>
      </c>
      <c r="G31" s="36"/>
      <c r="H31" s="37"/>
      <c r="I31" s="38"/>
    </row>
    <row r="32" spans="1:9" ht="16.5" x14ac:dyDescent="0.25">
      <c r="A32" s="31">
        <v>100009618</v>
      </c>
      <c r="B32" s="32"/>
      <c r="C32" s="33">
        <v>1455</v>
      </c>
      <c r="D32" s="34"/>
      <c r="E32" s="35"/>
      <c r="F32" s="66">
        <f t="shared" si="1"/>
        <v>1455</v>
      </c>
      <c r="G32" s="36"/>
      <c r="H32" s="37"/>
      <c r="I32" s="38"/>
    </row>
    <row r="33" spans="1:9" ht="16.5" x14ac:dyDescent="0.25">
      <c r="A33" s="31">
        <v>100028764</v>
      </c>
      <c r="B33" s="32">
        <v>4688</v>
      </c>
      <c r="C33" s="33">
        <f>308+53</f>
        <v>361</v>
      </c>
      <c r="D33" s="34"/>
      <c r="E33" s="35">
        <v>5049</v>
      </c>
      <c r="F33" s="66">
        <f t="shared" si="1"/>
        <v>0</v>
      </c>
      <c r="G33" s="36"/>
      <c r="H33" s="37"/>
      <c r="I33" s="38"/>
    </row>
    <row r="34" spans="1:9" ht="16.5" x14ac:dyDescent="0.25">
      <c r="A34" s="31">
        <v>100016101</v>
      </c>
      <c r="B34" s="32">
        <v>1395</v>
      </c>
      <c r="C34" s="33">
        <v>30</v>
      </c>
      <c r="D34" s="34"/>
      <c r="E34" s="35">
        <v>1352</v>
      </c>
      <c r="F34" s="55">
        <f t="shared" si="1"/>
        <v>0</v>
      </c>
      <c r="G34" s="36">
        <v>68</v>
      </c>
      <c r="H34" s="37">
        <v>5</v>
      </c>
      <c r="I34" s="38"/>
    </row>
    <row r="35" spans="1:9" ht="16.5" x14ac:dyDescent="0.25">
      <c r="A35" s="31">
        <v>100018139</v>
      </c>
      <c r="B35" s="32">
        <v>7536</v>
      </c>
      <c r="C35" s="33">
        <f>59+26+336+2+6</f>
        <v>429</v>
      </c>
      <c r="D35" s="34"/>
      <c r="E35" s="35">
        <v>7871</v>
      </c>
      <c r="F35" s="55">
        <f t="shared" si="1"/>
        <v>0</v>
      </c>
      <c r="G35" s="36">
        <v>92</v>
      </c>
      <c r="H35" s="37">
        <v>2</v>
      </c>
      <c r="I35" s="38"/>
    </row>
    <row r="36" spans="1:9" ht="16.5" x14ac:dyDescent="0.25">
      <c r="A36" s="31">
        <v>100018224</v>
      </c>
      <c r="B36" s="32">
        <v>2669</v>
      </c>
      <c r="C36" s="33"/>
      <c r="D36" s="34"/>
      <c r="E36" s="35">
        <v>2643</v>
      </c>
      <c r="F36" s="55">
        <f t="shared" si="1"/>
        <v>0</v>
      </c>
      <c r="G36" s="36">
        <v>23</v>
      </c>
      <c r="H36" s="37">
        <v>3</v>
      </c>
      <c r="I36" s="38"/>
    </row>
    <row r="37" spans="1:9" ht="16.5" x14ac:dyDescent="0.25">
      <c r="A37" s="31">
        <v>100018226</v>
      </c>
      <c r="B37" s="32">
        <v>0</v>
      </c>
      <c r="C37" s="33">
        <v>2</v>
      </c>
      <c r="D37" s="34"/>
      <c r="E37" s="35"/>
      <c r="F37" s="55">
        <f t="shared" si="1"/>
        <v>0</v>
      </c>
      <c r="G37" s="36"/>
      <c r="H37" s="37">
        <v>2</v>
      </c>
      <c r="I37" s="38"/>
    </row>
    <row r="38" spans="1:9" ht="16.5" x14ac:dyDescent="0.25">
      <c r="A38" s="31">
        <v>100018251</v>
      </c>
      <c r="B38" s="32">
        <v>3166</v>
      </c>
      <c r="C38" s="33">
        <f>125+34+14+24+10</f>
        <v>207</v>
      </c>
      <c r="D38" s="34"/>
      <c r="E38" s="35">
        <v>3335</v>
      </c>
      <c r="F38" s="55">
        <f t="shared" si="1"/>
        <v>0</v>
      </c>
      <c r="G38" s="36">
        <v>38</v>
      </c>
      <c r="H38" s="37"/>
      <c r="I38" s="38"/>
    </row>
    <row r="39" spans="1:9" ht="16.5" x14ac:dyDescent="0.25">
      <c r="A39" s="31">
        <v>100018258</v>
      </c>
      <c r="B39" s="32">
        <v>5854</v>
      </c>
      <c r="C39" s="33">
        <f>405+82+13+1</f>
        <v>501</v>
      </c>
      <c r="D39" s="34"/>
      <c r="E39" s="35">
        <v>6348</v>
      </c>
      <c r="F39" s="55">
        <f t="shared" si="1"/>
        <v>0</v>
      </c>
      <c r="G39" s="36">
        <v>6</v>
      </c>
      <c r="H39" s="37">
        <v>1</v>
      </c>
      <c r="I39" s="38"/>
    </row>
    <row r="40" spans="1:9" ht="16.5" x14ac:dyDescent="0.25">
      <c r="A40" s="31">
        <v>100018250</v>
      </c>
      <c r="B40" s="32">
        <v>7165</v>
      </c>
      <c r="C40" s="33">
        <f>412+15+23+153</f>
        <v>603</v>
      </c>
      <c r="D40" s="34"/>
      <c r="E40" s="35">
        <v>7768</v>
      </c>
      <c r="F40" s="66">
        <f t="shared" si="1"/>
        <v>0</v>
      </c>
      <c r="G40" s="36"/>
      <c r="H40" s="37"/>
      <c r="I40" s="38"/>
    </row>
    <row r="41" spans="1:9" ht="16.5" x14ac:dyDescent="0.25">
      <c r="A41" s="31">
        <v>100027409</v>
      </c>
      <c r="B41" s="32">
        <v>4131</v>
      </c>
      <c r="C41" s="33">
        <v>65</v>
      </c>
      <c r="D41" s="34"/>
      <c r="E41" s="35">
        <v>4127</v>
      </c>
      <c r="F41" s="55">
        <f t="shared" si="1"/>
        <v>0</v>
      </c>
      <c r="G41" s="36">
        <v>69</v>
      </c>
      <c r="H41" s="37"/>
      <c r="I41" s="38"/>
    </row>
    <row r="42" spans="1:9" ht="16.5" x14ac:dyDescent="0.25">
      <c r="A42" s="31">
        <v>100024706</v>
      </c>
      <c r="B42" s="32">
        <v>3457</v>
      </c>
      <c r="C42" s="33"/>
      <c r="D42" s="34"/>
      <c r="E42" s="35">
        <v>3399</v>
      </c>
      <c r="F42" s="55">
        <f t="shared" si="1"/>
        <v>0</v>
      </c>
      <c r="G42" s="36">
        <v>53</v>
      </c>
      <c r="H42" s="37">
        <v>5</v>
      </c>
      <c r="I42" s="38"/>
    </row>
    <row r="43" spans="1:9" ht="16.5" x14ac:dyDescent="0.25">
      <c r="A43" s="31" t="s">
        <v>231</v>
      </c>
      <c r="B43" s="32">
        <v>8626</v>
      </c>
      <c r="C43" s="33">
        <f>1+3+151+57+41+29+30-89-17+3+1+2+4+376</f>
        <v>592</v>
      </c>
      <c r="D43" s="34"/>
      <c r="E43" s="35">
        <f>5969+3168</f>
        <v>9137</v>
      </c>
      <c r="F43" s="66">
        <f t="shared" si="1"/>
        <v>75</v>
      </c>
      <c r="G43" s="36">
        <v>6</v>
      </c>
      <c r="H43" s="37"/>
      <c r="I43" s="38"/>
    </row>
    <row r="44" spans="1:9" ht="16.5" x14ac:dyDescent="0.25">
      <c r="A44" s="31">
        <v>100018229</v>
      </c>
      <c r="B44" s="32">
        <v>8157</v>
      </c>
      <c r="C44" s="33">
        <f>561+520+234+16+45+5</f>
        <v>1381</v>
      </c>
      <c r="D44" s="34"/>
      <c r="E44" s="35">
        <v>9428</v>
      </c>
      <c r="F44" s="55">
        <f t="shared" si="1"/>
        <v>0</v>
      </c>
      <c r="G44" s="36">
        <f>195-89</f>
        <v>106</v>
      </c>
      <c r="H44" s="37">
        <v>4</v>
      </c>
      <c r="I44" s="38"/>
    </row>
    <row r="45" spans="1:9" ht="16.5" x14ac:dyDescent="0.25">
      <c r="A45" s="31">
        <v>100018257</v>
      </c>
      <c r="B45" s="32">
        <v>1892</v>
      </c>
      <c r="C45" s="33">
        <f>690+334+945+358+217+36</f>
        <v>2580</v>
      </c>
      <c r="D45" s="34"/>
      <c r="E45" s="35">
        <v>4416</v>
      </c>
      <c r="F45" s="55">
        <f t="shared" si="1"/>
        <v>0</v>
      </c>
      <c r="G45" s="36">
        <v>56</v>
      </c>
      <c r="H45" s="37"/>
      <c r="I45" s="38"/>
    </row>
    <row r="46" spans="1:9" ht="16.5" x14ac:dyDescent="0.25">
      <c r="A46" s="31">
        <v>100018200</v>
      </c>
      <c r="B46" s="32">
        <v>2285</v>
      </c>
      <c r="C46" s="33">
        <f>1050+363+344</f>
        <v>1757</v>
      </c>
      <c r="D46" s="34"/>
      <c r="E46" s="35">
        <v>3966</v>
      </c>
      <c r="F46" s="55">
        <f t="shared" si="1"/>
        <v>0</v>
      </c>
      <c r="G46" s="36">
        <v>72</v>
      </c>
      <c r="H46" s="37">
        <v>4</v>
      </c>
      <c r="I46" s="38"/>
    </row>
    <row r="47" spans="1:9" ht="16.5" x14ac:dyDescent="0.25">
      <c r="A47" s="31">
        <v>100018259</v>
      </c>
      <c r="B47" s="32">
        <v>1255</v>
      </c>
      <c r="C47" s="33"/>
      <c r="D47" s="34"/>
      <c r="E47" s="35">
        <v>1239</v>
      </c>
      <c r="F47" s="55">
        <f t="shared" si="1"/>
        <v>0</v>
      </c>
      <c r="G47" s="36">
        <v>16</v>
      </c>
      <c r="H47" s="37"/>
      <c r="I47" s="38"/>
    </row>
    <row r="48" spans="1:9" ht="16.5" x14ac:dyDescent="0.25">
      <c r="A48" s="31">
        <v>100019047</v>
      </c>
      <c r="B48" s="32"/>
      <c r="C48" s="33">
        <v>9264</v>
      </c>
      <c r="D48" s="34"/>
      <c r="E48" s="35">
        <v>9264</v>
      </c>
      <c r="F48" s="55">
        <f t="shared" si="1"/>
        <v>0</v>
      </c>
      <c r="G48" s="36"/>
      <c r="H48" s="37"/>
      <c r="I48" s="38"/>
    </row>
    <row r="49" spans="1:9" ht="16.5" x14ac:dyDescent="0.25">
      <c r="A49" s="31">
        <v>100018252</v>
      </c>
      <c r="B49" s="32">
        <v>2346</v>
      </c>
      <c r="C49" s="33">
        <f>1+1+45</f>
        <v>47</v>
      </c>
      <c r="D49" s="34"/>
      <c r="E49" s="35">
        <v>2354</v>
      </c>
      <c r="F49" s="55">
        <f t="shared" si="1"/>
        <v>0</v>
      </c>
      <c r="G49" s="36">
        <v>37</v>
      </c>
      <c r="H49" s="37">
        <v>2</v>
      </c>
      <c r="I49" s="38"/>
    </row>
    <row r="50" spans="1:9" ht="16.5" x14ac:dyDescent="0.25">
      <c r="A50" s="31">
        <v>100016320</v>
      </c>
      <c r="B50" s="32">
        <v>11506</v>
      </c>
      <c r="C50" s="33"/>
      <c r="D50" s="34"/>
      <c r="E50" s="35">
        <v>11291</v>
      </c>
      <c r="F50" s="66">
        <f t="shared" si="1"/>
        <v>210</v>
      </c>
      <c r="G50" s="36"/>
      <c r="H50" s="37">
        <v>5</v>
      </c>
      <c r="I50" s="38"/>
    </row>
    <row r="51" spans="1:9" ht="16.5" x14ac:dyDescent="0.25">
      <c r="A51" s="31">
        <v>100027487</v>
      </c>
      <c r="B51" s="32"/>
      <c r="C51" s="33">
        <f>607+598</f>
        <v>1205</v>
      </c>
      <c r="D51" s="34"/>
      <c r="E51" s="35">
        <v>1172</v>
      </c>
      <c r="F51" s="55">
        <f t="shared" si="1"/>
        <v>0</v>
      </c>
      <c r="G51" s="36">
        <v>33</v>
      </c>
      <c r="H51" s="37"/>
      <c r="I51" s="38"/>
    </row>
    <row r="52" spans="1:9" ht="16.5" x14ac:dyDescent="0.25">
      <c r="A52" s="31">
        <v>100018260</v>
      </c>
      <c r="B52" s="32"/>
      <c r="C52" s="33">
        <v>1310</v>
      </c>
      <c r="D52" s="34"/>
      <c r="E52" s="35">
        <v>1293</v>
      </c>
      <c r="F52" s="55">
        <f t="shared" si="1"/>
        <v>0</v>
      </c>
      <c r="G52" s="36">
        <v>17</v>
      </c>
      <c r="H52" s="37"/>
      <c r="I52" s="38"/>
    </row>
    <row r="53" spans="1:9" ht="16.5" x14ac:dyDescent="0.25">
      <c r="A53" s="31">
        <v>100018130</v>
      </c>
      <c r="B53" s="32"/>
      <c r="C53" s="33">
        <f>3746+2522+1678</f>
        <v>7946</v>
      </c>
      <c r="D53" s="34"/>
      <c r="E53" s="35">
        <v>7855</v>
      </c>
      <c r="F53" s="55">
        <f t="shared" si="1"/>
        <v>0</v>
      </c>
      <c r="G53" s="36">
        <v>89</v>
      </c>
      <c r="H53" s="37">
        <v>2</v>
      </c>
      <c r="I53" s="38"/>
    </row>
    <row r="54" spans="1:9" ht="16.5" x14ac:dyDescent="0.25">
      <c r="A54" s="31">
        <v>100018207</v>
      </c>
      <c r="B54" s="32"/>
      <c r="C54" s="33">
        <f>1514+1544</f>
        <v>3058</v>
      </c>
      <c r="D54" s="34"/>
      <c r="E54" s="35">
        <v>3038</v>
      </c>
      <c r="F54" s="55">
        <f t="shared" si="1"/>
        <v>0</v>
      </c>
      <c r="G54" s="36">
        <v>20</v>
      </c>
      <c r="H54" s="37"/>
      <c r="I54" s="38"/>
    </row>
    <row r="55" spans="1:9" ht="16.5" x14ac:dyDescent="0.25">
      <c r="A55" s="31">
        <v>100018230</v>
      </c>
      <c r="B55" s="32"/>
      <c r="C55" s="33">
        <f>3500+303+1078</f>
        <v>4881</v>
      </c>
      <c r="D55" s="34"/>
      <c r="E55" s="35">
        <v>4797</v>
      </c>
      <c r="F55" s="55">
        <f t="shared" si="1"/>
        <v>0</v>
      </c>
      <c r="G55" s="36">
        <v>80</v>
      </c>
      <c r="H55" s="37">
        <v>4</v>
      </c>
      <c r="I55" s="38"/>
    </row>
    <row r="56" spans="1:9" ht="16.5" x14ac:dyDescent="0.25">
      <c r="A56" s="31">
        <v>100034173</v>
      </c>
      <c r="B56" s="32">
        <v>12</v>
      </c>
      <c r="C56" s="33"/>
      <c r="D56" s="34"/>
      <c r="E56" s="35">
        <v>12</v>
      </c>
      <c r="F56" s="55">
        <f t="shared" si="1"/>
        <v>0</v>
      </c>
      <c r="G56" s="36"/>
      <c r="H56" s="37"/>
      <c r="I56" s="38"/>
    </row>
    <row r="57" spans="1:9" ht="16.5" x14ac:dyDescent="0.25">
      <c r="A57" s="31" t="s">
        <v>259</v>
      </c>
      <c r="B57" s="32"/>
      <c r="C57" s="33">
        <v>6108</v>
      </c>
      <c r="D57" s="34"/>
      <c r="E57" s="35"/>
      <c r="F57" s="66">
        <f t="shared" si="1"/>
        <v>6108</v>
      </c>
      <c r="G57" s="36"/>
      <c r="H57" s="37"/>
      <c r="I57" s="38"/>
    </row>
    <row r="58" spans="1:9" ht="16.5" x14ac:dyDescent="0.25">
      <c r="A58" s="31" t="s">
        <v>110</v>
      </c>
      <c r="B58" s="32">
        <v>4139</v>
      </c>
      <c r="C58" s="33"/>
      <c r="D58" s="34">
        <v>-123</v>
      </c>
      <c r="E58" s="35">
        <v>3960</v>
      </c>
      <c r="F58" s="66">
        <f t="shared" si="1"/>
        <v>56</v>
      </c>
      <c r="G58" s="36"/>
      <c r="H58" s="37"/>
      <c r="I58" s="38"/>
    </row>
    <row r="59" spans="1:9" ht="16.5" x14ac:dyDescent="0.25">
      <c r="A59" s="31" t="s">
        <v>237</v>
      </c>
      <c r="B59" s="32">
        <v>1011</v>
      </c>
      <c r="C59" s="33">
        <f>688+376+530+733+854+437+174+64+16+34+123</f>
        <v>4029</v>
      </c>
      <c r="D59" s="34"/>
      <c r="E59" s="35">
        <v>5040</v>
      </c>
      <c r="F59" s="55">
        <f t="shared" si="1"/>
        <v>0</v>
      </c>
      <c r="G59" s="36"/>
      <c r="H59" s="37"/>
      <c r="I59" s="38"/>
    </row>
    <row r="60" spans="1:9" ht="16.5" x14ac:dyDescent="0.25">
      <c r="A60" s="31">
        <v>100034276</v>
      </c>
      <c r="B60" s="32">
        <v>4298</v>
      </c>
      <c r="C60" s="33">
        <f>648+474+208+79+123</f>
        <v>1532</v>
      </c>
      <c r="D60" s="34"/>
      <c r="E60" s="35">
        <v>5826</v>
      </c>
      <c r="F60" s="66">
        <f t="shared" ref="F60:F125" si="2">+B60+C60+D60-E60-G60-H60-I60</f>
        <v>0</v>
      </c>
      <c r="G60" s="36"/>
      <c r="H60" s="37">
        <v>4</v>
      </c>
      <c r="I60" s="38"/>
    </row>
    <row r="61" spans="1:9" ht="16.5" x14ac:dyDescent="0.25">
      <c r="A61" s="31">
        <v>100034267</v>
      </c>
      <c r="B61" s="32"/>
      <c r="C61" s="33">
        <v>2170</v>
      </c>
      <c r="D61" s="34"/>
      <c r="E61" s="35">
        <v>2160</v>
      </c>
      <c r="F61" s="66">
        <f t="shared" si="2"/>
        <v>10</v>
      </c>
      <c r="G61" s="36"/>
      <c r="H61" s="37"/>
      <c r="I61" s="38"/>
    </row>
    <row r="62" spans="1:9" ht="16.5" x14ac:dyDescent="0.25">
      <c r="A62" s="31">
        <v>100034352</v>
      </c>
      <c r="B62" s="32"/>
      <c r="C62" s="33">
        <v>5894</v>
      </c>
      <c r="D62" s="34"/>
      <c r="E62" s="35">
        <v>5844</v>
      </c>
      <c r="F62" s="55">
        <f t="shared" si="2"/>
        <v>0</v>
      </c>
      <c r="G62" s="36">
        <v>47</v>
      </c>
      <c r="H62" s="37">
        <v>3</v>
      </c>
      <c r="I62" s="38"/>
    </row>
    <row r="63" spans="1:9" ht="16.5" x14ac:dyDescent="0.25">
      <c r="A63" s="31">
        <v>100035009</v>
      </c>
      <c r="B63" s="32">
        <v>5</v>
      </c>
      <c r="C63" s="33">
        <f>611+888+946+911+619</f>
        <v>3975</v>
      </c>
      <c r="D63" s="34"/>
      <c r="E63" s="35">
        <v>3917</v>
      </c>
      <c r="F63" s="55">
        <f t="shared" si="2"/>
        <v>0</v>
      </c>
      <c r="G63" s="36">
        <v>60</v>
      </c>
      <c r="H63" s="37">
        <v>3</v>
      </c>
      <c r="I63" s="38"/>
    </row>
    <row r="64" spans="1:9" ht="16.5" x14ac:dyDescent="0.25">
      <c r="A64" s="31">
        <v>100034888</v>
      </c>
      <c r="B64" s="32">
        <v>73</v>
      </c>
      <c r="C64" s="33">
        <v>123</v>
      </c>
      <c r="D64" s="34"/>
      <c r="E64" s="35"/>
      <c r="F64" s="66">
        <f t="shared" si="2"/>
        <v>169</v>
      </c>
      <c r="G64" s="36">
        <v>9</v>
      </c>
      <c r="H64" s="37">
        <v>18</v>
      </c>
      <c r="I64" s="38"/>
    </row>
    <row r="65" spans="1:9" ht="16.5" x14ac:dyDescent="0.25">
      <c r="A65" s="31">
        <v>100033058</v>
      </c>
      <c r="B65" s="32"/>
      <c r="C65" s="33">
        <f>1057+3</f>
        <v>1060</v>
      </c>
      <c r="D65" s="34"/>
      <c r="E65" s="35">
        <v>1057</v>
      </c>
      <c r="F65" s="55">
        <f t="shared" si="2"/>
        <v>0</v>
      </c>
      <c r="G65" s="36"/>
      <c r="H65" s="37">
        <v>3</v>
      </c>
      <c r="I65" s="38"/>
    </row>
    <row r="66" spans="1:9" ht="16.5" x14ac:dyDescent="0.25">
      <c r="A66" s="31" t="s">
        <v>224</v>
      </c>
      <c r="B66" s="32">
        <v>1124</v>
      </c>
      <c r="C66" s="33"/>
      <c r="D66" s="34"/>
      <c r="E66" s="35">
        <v>732</v>
      </c>
      <c r="F66" s="55">
        <f t="shared" si="2"/>
        <v>0</v>
      </c>
      <c r="G66" s="36">
        <f>381-3</f>
        <v>378</v>
      </c>
      <c r="H66" s="37">
        <v>14</v>
      </c>
      <c r="I66" s="30"/>
    </row>
    <row r="67" spans="1:9" ht="16.5" x14ac:dyDescent="0.25">
      <c r="A67" s="31" t="s">
        <v>225</v>
      </c>
      <c r="B67" s="32">
        <v>615</v>
      </c>
      <c r="C67" s="33">
        <v>11</v>
      </c>
      <c r="D67" s="34"/>
      <c r="E67" s="35">
        <f>316+300</f>
        <v>616</v>
      </c>
      <c r="F67" s="55">
        <f t="shared" si="2"/>
        <v>0</v>
      </c>
      <c r="G67" s="36"/>
      <c r="H67" s="37">
        <v>10</v>
      </c>
      <c r="I67" s="30"/>
    </row>
    <row r="68" spans="1:9" ht="16.5" x14ac:dyDescent="0.25">
      <c r="A68" s="31">
        <v>469493</v>
      </c>
      <c r="B68" s="32">
        <v>229</v>
      </c>
      <c r="C68" s="33">
        <f>60+289+43</f>
        <v>392</v>
      </c>
      <c r="D68" s="34"/>
      <c r="E68" s="35">
        <v>600</v>
      </c>
      <c r="F68" s="55">
        <f t="shared" si="2"/>
        <v>0</v>
      </c>
      <c r="G68" s="36">
        <v>15</v>
      </c>
      <c r="H68" s="37">
        <v>6</v>
      </c>
      <c r="I68" s="30"/>
    </row>
    <row r="69" spans="1:9" ht="16.5" x14ac:dyDescent="0.25">
      <c r="A69" s="31" t="s">
        <v>223</v>
      </c>
      <c r="B69" s="32">
        <v>137</v>
      </c>
      <c r="C69" s="33">
        <f>389+66</f>
        <v>455</v>
      </c>
      <c r="D69" s="34"/>
      <c r="E69" s="35">
        <v>579</v>
      </c>
      <c r="F69" s="55">
        <f t="shared" si="2"/>
        <v>0</v>
      </c>
      <c r="G69" s="36">
        <f>58-45</f>
        <v>13</v>
      </c>
      <c r="H69" s="37"/>
      <c r="I69" s="30"/>
    </row>
    <row r="70" spans="1:9" ht="16.5" x14ac:dyDescent="0.25">
      <c r="A70" s="31" t="s">
        <v>222</v>
      </c>
      <c r="B70" s="32">
        <v>890</v>
      </c>
      <c r="C70" s="33">
        <f>104+86</f>
        <v>190</v>
      </c>
      <c r="D70" s="34"/>
      <c r="E70" s="35">
        <v>1000</v>
      </c>
      <c r="F70" s="55">
        <f t="shared" si="2"/>
        <v>0</v>
      </c>
      <c r="G70" s="36">
        <f>217-149</f>
        <v>68</v>
      </c>
      <c r="H70" s="37">
        <v>12</v>
      </c>
      <c r="I70" s="30"/>
    </row>
    <row r="71" spans="1:9" ht="16.5" x14ac:dyDescent="0.25">
      <c r="A71" s="31">
        <v>466742</v>
      </c>
      <c r="B71" s="32">
        <v>17628</v>
      </c>
      <c r="C71" s="33">
        <f>296+275</f>
        <v>571</v>
      </c>
      <c r="D71" s="34"/>
      <c r="E71" s="35">
        <v>17958</v>
      </c>
      <c r="F71" s="55">
        <f t="shared" si="2"/>
        <v>0</v>
      </c>
      <c r="G71" s="36">
        <f>225-4</f>
        <v>221</v>
      </c>
      <c r="H71" s="37">
        <v>20</v>
      </c>
      <c r="I71" s="30"/>
    </row>
    <row r="72" spans="1:9" ht="16.5" x14ac:dyDescent="0.25">
      <c r="A72" s="31">
        <v>469040</v>
      </c>
      <c r="B72" s="32">
        <v>4418</v>
      </c>
      <c r="C72" s="33">
        <f>395+354+397+986</f>
        <v>2132</v>
      </c>
      <c r="D72" s="34"/>
      <c r="E72" s="35">
        <v>6550</v>
      </c>
      <c r="F72" s="66">
        <f t="shared" si="2"/>
        <v>0</v>
      </c>
      <c r="G72" s="36"/>
      <c r="H72" s="37"/>
      <c r="I72" s="30"/>
    </row>
    <row r="73" spans="1:9" ht="16.5" x14ac:dyDescent="0.25">
      <c r="A73" s="31">
        <v>469041</v>
      </c>
      <c r="B73" s="32">
        <v>113</v>
      </c>
      <c r="C73" s="33">
        <f>201+121</f>
        <v>322</v>
      </c>
      <c r="D73" s="34"/>
      <c r="E73" s="35">
        <v>403</v>
      </c>
      <c r="F73" s="55">
        <f t="shared" si="2"/>
        <v>0</v>
      </c>
      <c r="G73" s="36">
        <v>32</v>
      </c>
      <c r="H73" s="37"/>
      <c r="I73" s="30"/>
    </row>
    <row r="74" spans="1:9" ht="16.5" x14ac:dyDescent="0.25">
      <c r="A74" s="31" t="s">
        <v>252</v>
      </c>
      <c r="B74" s="32">
        <v>300</v>
      </c>
      <c r="C74" s="33">
        <v>12</v>
      </c>
      <c r="D74" s="34"/>
      <c r="E74" s="35">
        <v>300</v>
      </c>
      <c r="F74" s="55">
        <f t="shared" si="2"/>
        <v>0</v>
      </c>
      <c r="G74" s="36"/>
      <c r="H74" s="37">
        <f>7+5</f>
        <v>12</v>
      </c>
      <c r="I74" s="30"/>
    </row>
    <row r="75" spans="1:9" ht="16.5" x14ac:dyDescent="0.25">
      <c r="A75" s="31" t="s">
        <v>227</v>
      </c>
      <c r="B75" s="32">
        <v>748</v>
      </c>
      <c r="C75" s="33">
        <f>416+8</f>
        <v>424</v>
      </c>
      <c r="D75" s="34"/>
      <c r="E75" s="35">
        <v>748</v>
      </c>
      <c r="F75" s="55">
        <f t="shared" si="2"/>
        <v>0</v>
      </c>
      <c r="G75" s="36">
        <f>505-94</f>
        <v>411</v>
      </c>
      <c r="H75" s="37">
        <v>13</v>
      </c>
      <c r="I75" s="30"/>
    </row>
    <row r="76" spans="1:9" ht="16.5" x14ac:dyDescent="0.25">
      <c r="A76" s="31">
        <v>468918</v>
      </c>
      <c r="B76" s="32">
        <v>300</v>
      </c>
      <c r="C76" s="33">
        <v>10</v>
      </c>
      <c r="D76" s="34"/>
      <c r="E76" s="35">
        <v>300</v>
      </c>
      <c r="F76" s="55">
        <f t="shared" si="2"/>
        <v>0</v>
      </c>
      <c r="G76" s="36"/>
      <c r="H76" s="37">
        <v>10</v>
      </c>
      <c r="I76" s="30"/>
    </row>
    <row r="77" spans="1:9" ht="16.5" x14ac:dyDescent="0.25">
      <c r="A77" s="31" t="s">
        <v>228</v>
      </c>
      <c r="B77" s="32">
        <v>1428</v>
      </c>
      <c r="C77" s="33">
        <v>98</v>
      </c>
      <c r="D77" s="34"/>
      <c r="E77" s="35">
        <f>1119+350</f>
        <v>1469</v>
      </c>
      <c r="F77" s="55">
        <f t="shared" si="2"/>
        <v>0</v>
      </c>
      <c r="G77" s="36">
        <v>46</v>
      </c>
      <c r="H77" s="37">
        <f>5+6</f>
        <v>11</v>
      </c>
      <c r="I77" s="30"/>
    </row>
    <row r="78" spans="1:9" ht="16.5" x14ac:dyDescent="0.25">
      <c r="A78" s="31">
        <v>470341</v>
      </c>
      <c r="B78" s="32">
        <v>334</v>
      </c>
      <c r="C78" s="33">
        <v>289</v>
      </c>
      <c r="D78" s="34"/>
      <c r="E78" s="35">
        <v>432</v>
      </c>
      <c r="F78" s="55">
        <f t="shared" si="2"/>
        <v>0</v>
      </c>
      <c r="G78" s="36">
        <f>80+105</f>
        <v>185</v>
      </c>
      <c r="H78" s="37">
        <v>6</v>
      </c>
      <c r="I78" s="30"/>
    </row>
    <row r="79" spans="1:9" ht="16.5" x14ac:dyDescent="0.25">
      <c r="A79" s="31" t="s">
        <v>232</v>
      </c>
      <c r="B79" s="32">
        <v>509</v>
      </c>
      <c r="C79" s="33">
        <v>612</v>
      </c>
      <c r="D79" s="34"/>
      <c r="E79" s="35">
        <v>1090</v>
      </c>
      <c r="F79" s="55">
        <f t="shared" si="2"/>
        <v>0</v>
      </c>
      <c r="G79" s="36">
        <f>15+7</f>
        <v>22</v>
      </c>
      <c r="H79" s="37">
        <v>9</v>
      </c>
      <c r="I79" s="30"/>
    </row>
    <row r="80" spans="1:9" ht="16.5" x14ac:dyDescent="0.25">
      <c r="A80" s="31" t="s">
        <v>233</v>
      </c>
      <c r="B80" s="32">
        <v>323</v>
      </c>
      <c r="C80" s="33">
        <v>0</v>
      </c>
      <c r="D80" s="34"/>
      <c r="E80" s="35">
        <v>63</v>
      </c>
      <c r="F80" s="55">
        <f t="shared" si="2"/>
        <v>0</v>
      </c>
      <c r="G80" s="36">
        <f>226+13</f>
        <v>239</v>
      </c>
      <c r="H80" s="37">
        <v>21</v>
      </c>
      <c r="I80" s="30"/>
    </row>
    <row r="81" spans="1:9" ht="16.5" x14ac:dyDescent="0.25">
      <c r="A81" s="31">
        <v>464618</v>
      </c>
      <c r="B81" s="32">
        <v>109</v>
      </c>
      <c r="C81" s="33"/>
      <c r="D81" s="34"/>
      <c r="E81" s="35"/>
      <c r="F81" s="55">
        <f t="shared" si="2"/>
        <v>0</v>
      </c>
      <c r="G81" s="36">
        <f>186-83</f>
        <v>103</v>
      </c>
      <c r="H81" s="37">
        <v>6</v>
      </c>
      <c r="I81" s="30"/>
    </row>
    <row r="82" spans="1:9" ht="16.5" x14ac:dyDescent="0.25">
      <c r="A82" s="31">
        <v>469042</v>
      </c>
      <c r="B82" s="32">
        <v>5071</v>
      </c>
      <c r="C82" s="33">
        <f>53+96+107+70+84</f>
        <v>410</v>
      </c>
      <c r="D82" s="34"/>
      <c r="E82" s="35">
        <v>5394</v>
      </c>
      <c r="F82" s="55">
        <f t="shared" si="2"/>
        <v>0</v>
      </c>
      <c r="G82" s="36">
        <v>70</v>
      </c>
      <c r="H82" s="37">
        <v>17</v>
      </c>
      <c r="I82" s="30"/>
    </row>
    <row r="83" spans="1:9" ht="16.5" x14ac:dyDescent="0.25">
      <c r="A83" s="31" t="s">
        <v>234</v>
      </c>
      <c r="B83" s="32">
        <v>4100</v>
      </c>
      <c r="C83" s="33">
        <f>3900+3657+10646+10646+6317</f>
        <v>35166</v>
      </c>
      <c r="D83" s="34"/>
      <c r="E83" s="35">
        <v>29292</v>
      </c>
      <c r="F83" s="66">
        <f t="shared" si="2"/>
        <v>9900</v>
      </c>
      <c r="G83" s="36"/>
      <c r="H83" s="37">
        <f>41+13</f>
        <v>54</v>
      </c>
      <c r="I83" s="30">
        <v>20</v>
      </c>
    </row>
    <row r="84" spans="1:9" ht="16.5" x14ac:dyDescent="0.25">
      <c r="A84" s="31">
        <v>476154</v>
      </c>
      <c r="B84" s="32"/>
      <c r="C84" s="33">
        <f>7990+1200</f>
        <v>9190</v>
      </c>
      <c r="D84" s="34"/>
      <c r="E84" s="35">
        <v>9000</v>
      </c>
      <c r="F84" s="55">
        <f t="shared" si="2"/>
        <v>0</v>
      </c>
      <c r="G84" s="36">
        <v>170</v>
      </c>
      <c r="H84" s="37">
        <v>20</v>
      </c>
      <c r="I84" s="30"/>
    </row>
    <row r="85" spans="1:9" ht="16.5" x14ac:dyDescent="0.25">
      <c r="A85" s="31">
        <v>483561</v>
      </c>
      <c r="B85" s="32"/>
      <c r="C85" s="33">
        <f>528+587</f>
        <v>1115</v>
      </c>
      <c r="D85" s="34"/>
      <c r="E85" s="35">
        <v>1075</v>
      </c>
      <c r="F85" s="55">
        <f t="shared" si="2"/>
        <v>0</v>
      </c>
      <c r="G85" s="36">
        <v>30</v>
      </c>
      <c r="H85" s="37">
        <v>10</v>
      </c>
      <c r="I85" s="30"/>
    </row>
    <row r="86" spans="1:9" ht="16.5" x14ac:dyDescent="0.25">
      <c r="A86" s="31">
        <v>472379</v>
      </c>
      <c r="B86" s="32"/>
      <c r="C86" s="33">
        <f>561+422+606</f>
        <v>1589</v>
      </c>
      <c r="D86" s="34"/>
      <c r="E86" s="35">
        <v>1552</v>
      </c>
      <c r="F86" s="55">
        <f t="shared" si="2"/>
        <v>0</v>
      </c>
      <c r="G86" s="36">
        <f>50-19</f>
        <v>31</v>
      </c>
      <c r="H86" s="37">
        <v>6</v>
      </c>
      <c r="I86" s="30"/>
    </row>
    <row r="87" spans="1:9" ht="16.5" x14ac:dyDescent="0.25">
      <c r="A87" s="31" t="s">
        <v>244</v>
      </c>
      <c r="B87" s="32"/>
      <c r="C87" s="33">
        <f>3334+288+2663</f>
        <v>6285</v>
      </c>
      <c r="D87" s="34"/>
      <c r="E87" s="35">
        <v>6155</v>
      </c>
      <c r="F87" s="55">
        <f t="shared" si="2"/>
        <v>0</v>
      </c>
      <c r="G87" s="36">
        <f>322-215</f>
        <v>107</v>
      </c>
      <c r="H87" s="37">
        <v>23</v>
      </c>
      <c r="I87" s="30"/>
    </row>
    <row r="88" spans="1:9" ht="16.5" x14ac:dyDescent="0.25">
      <c r="A88" s="31" t="s">
        <v>245</v>
      </c>
      <c r="B88" s="32"/>
      <c r="C88" s="33">
        <f>3110+1910</f>
        <v>5020</v>
      </c>
      <c r="D88" s="34"/>
      <c r="E88" s="35">
        <v>1610</v>
      </c>
      <c r="F88" s="66">
        <f t="shared" si="2"/>
        <v>3408</v>
      </c>
      <c r="G88" s="36"/>
      <c r="H88" s="37">
        <v>2</v>
      </c>
      <c r="I88" s="30"/>
    </row>
    <row r="89" spans="1:9" ht="16.5" x14ac:dyDescent="0.25">
      <c r="A89" s="31" t="s">
        <v>246</v>
      </c>
      <c r="B89" s="32"/>
      <c r="C89" s="33">
        <f>7003+979</f>
        <v>7982</v>
      </c>
      <c r="D89" s="34"/>
      <c r="E89" s="35">
        <f>7881+72</f>
        <v>7953</v>
      </c>
      <c r="F89" s="55">
        <f t="shared" si="2"/>
        <v>0</v>
      </c>
      <c r="G89" s="36"/>
      <c r="H89" s="37">
        <f>5+17+3</f>
        <v>25</v>
      </c>
      <c r="I89" s="30">
        <v>4</v>
      </c>
    </row>
    <row r="90" spans="1:9" ht="16.5" x14ac:dyDescent="0.25">
      <c r="A90" s="31" t="s">
        <v>247</v>
      </c>
      <c r="B90" s="32"/>
      <c r="C90" s="33">
        <f>10681+7976+6606</f>
        <v>25263</v>
      </c>
      <c r="D90" s="34"/>
      <c r="E90" s="35">
        <v>22960</v>
      </c>
      <c r="F90" s="66">
        <f t="shared" si="2"/>
        <v>2296</v>
      </c>
      <c r="G90" s="36"/>
      <c r="H90" s="37">
        <v>5</v>
      </c>
      <c r="I90" s="30">
        <v>2</v>
      </c>
    </row>
    <row r="91" spans="1:9" ht="16.5" x14ac:dyDescent="0.25">
      <c r="A91" s="31" t="s">
        <v>248</v>
      </c>
      <c r="B91" s="32"/>
      <c r="C91" s="33">
        <f>3883+6981</f>
        <v>10864</v>
      </c>
      <c r="D91" s="34"/>
      <c r="E91" s="35">
        <v>9600</v>
      </c>
      <c r="F91" s="66">
        <f t="shared" si="2"/>
        <v>1244</v>
      </c>
      <c r="G91" s="36"/>
      <c r="H91" s="37">
        <v>10</v>
      </c>
      <c r="I91" s="30">
        <v>10</v>
      </c>
    </row>
    <row r="92" spans="1:9" ht="16.5" x14ac:dyDescent="0.25">
      <c r="A92" s="31" t="s">
        <v>249</v>
      </c>
      <c r="B92" s="32"/>
      <c r="C92" s="33">
        <f>4275+3769</f>
        <v>8044</v>
      </c>
      <c r="D92" s="34"/>
      <c r="E92" s="35"/>
      <c r="F92" s="66">
        <f t="shared" si="2"/>
        <v>8044</v>
      </c>
      <c r="G92" s="36"/>
      <c r="H92" s="37"/>
      <c r="I92" s="30"/>
    </row>
    <row r="93" spans="1:9" ht="16.5" x14ac:dyDescent="0.25">
      <c r="A93" s="31" t="s">
        <v>253</v>
      </c>
      <c r="B93" s="32"/>
      <c r="C93" s="33">
        <f>833+322</f>
        <v>1155</v>
      </c>
      <c r="D93" s="34"/>
      <c r="E93" s="35">
        <v>1143</v>
      </c>
      <c r="F93" s="55">
        <f t="shared" si="2"/>
        <v>0</v>
      </c>
      <c r="G93" s="36"/>
      <c r="H93" s="37">
        <v>12</v>
      </c>
      <c r="I93" s="30"/>
    </row>
    <row r="94" spans="1:9" ht="16.5" x14ac:dyDescent="0.25">
      <c r="A94" s="31" t="s">
        <v>229</v>
      </c>
      <c r="B94" s="32"/>
      <c r="C94" s="33">
        <f>18+15+13</f>
        <v>46</v>
      </c>
      <c r="D94" s="34"/>
      <c r="E94" s="35"/>
      <c r="F94" s="55">
        <f t="shared" si="2"/>
        <v>0</v>
      </c>
      <c r="G94" s="36">
        <v>13</v>
      </c>
      <c r="H94" s="37">
        <v>33</v>
      </c>
      <c r="I94" s="30"/>
    </row>
    <row r="95" spans="1:9" ht="16.5" x14ac:dyDescent="0.25">
      <c r="A95" s="31">
        <v>471825</v>
      </c>
      <c r="B95" s="32"/>
      <c r="C95" s="33">
        <v>11</v>
      </c>
      <c r="D95" s="34"/>
      <c r="E95" s="35"/>
      <c r="F95" s="55">
        <f t="shared" si="2"/>
        <v>0</v>
      </c>
      <c r="G95" s="36"/>
      <c r="H95" s="37">
        <v>11</v>
      </c>
      <c r="I95" s="30"/>
    </row>
    <row r="96" spans="1:9" ht="16.5" x14ac:dyDescent="0.25">
      <c r="A96" s="31">
        <v>482924</v>
      </c>
      <c r="B96" s="32"/>
      <c r="C96" s="33">
        <v>8</v>
      </c>
      <c r="D96" s="34"/>
      <c r="E96" s="35"/>
      <c r="F96" s="55">
        <f t="shared" si="2"/>
        <v>0</v>
      </c>
      <c r="G96" s="36"/>
      <c r="H96" s="37">
        <v>8</v>
      </c>
      <c r="I96" s="30"/>
    </row>
    <row r="97" spans="1:9" ht="16.5" x14ac:dyDescent="0.25">
      <c r="A97" s="31">
        <v>465985</v>
      </c>
      <c r="B97" s="32"/>
      <c r="C97" s="33">
        <v>8</v>
      </c>
      <c r="D97" s="34"/>
      <c r="E97" s="35"/>
      <c r="F97" s="55">
        <f t="shared" si="2"/>
        <v>0</v>
      </c>
      <c r="G97" s="36"/>
      <c r="H97" s="37">
        <v>8</v>
      </c>
      <c r="I97" s="30"/>
    </row>
    <row r="98" spans="1:9" ht="16.5" x14ac:dyDescent="0.25">
      <c r="A98" s="31">
        <v>473551</v>
      </c>
      <c r="B98" s="32"/>
      <c r="C98" s="33">
        <f>11+9</f>
        <v>20</v>
      </c>
      <c r="D98" s="34"/>
      <c r="E98" s="35"/>
      <c r="F98" s="55">
        <f t="shared" si="2"/>
        <v>0</v>
      </c>
      <c r="G98" s="36"/>
      <c r="H98" s="37">
        <v>20</v>
      </c>
      <c r="I98" s="30"/>
    </row>
    <row r="99" spans="1:9" ht="16.5" x14ac:dyDescent="0.25">
      <c r="A99" s="31" t="s">
        <v>230</v>
      </c>
      <c r="B99" s="32"/>
      <c r="C99" s="33">
        <v>9</v>
      </c>
      <c r="D99" s="34"/>
      <c r="E99" s="35"/>
      <c r="F99" s="55">
        <f t="shared" si="2"/>
        <v>0</v>
      </c>
      <c r="G99" s="36"/>
      <c r="H99" s="37">
        <v>9</v>
      </c>
      <c r="I99" s="30"/>
    </row>
    <row r="100" spans="1:9" ht="16.5" x14ac:dyDescent="0.25">
      <c r="A100" s="31">
        <v>474874</v>
      </c>
      <c r="B100" s="32"/>
      <c r="C100" s="33">
        <v>6</v>
      </c>
      <c r="D100" s="34"/>
      <c r="E100" s="35"/>
      <c r="F100" s="55">
        <f t="shared" si="2"/>
        <v>0</v>
      </c>
      <c r="G100" s="36"/>
      <c r="H100" s="37">
        <v>6</v>
      </c>
      <c r="I100" s="30"/>
    </row>
    <row r="101" spans="1:9" ht="16.5" x14ac:dyDescent="0.25">
      <c r="A101" s="31" t="s">
        <v>217</v>
      </c>
      <c r="B101" s="32"/>
      <c r="C101" s="33">
        <f>12+8</f>
        <v>20</v>
      </c>
      <c r="D101" s="34"/>
      <c r="E101" s="35"/>
      <c r="F101" s="55">
        <f t="shared" si="2"/>
        <v>0</v>
      </c>
      <c r="G101" s="36"/>
      <c r="H101" s="37">
        <v>20</v>
      </c>
      <c r="I101" s="30"/>
    </row>
    <row r="102" spans="1:9" ht="16.5" x14ac:dyDescent="0.25">
      <c r="A102" s="31" t="s">
        <v>254</v>
      </c>
      <c r="B102" s="32"/>
      <c r="C102" s="33">
        <v>8</v>
      </c>
      <c r="D102" s="34"/>
      <c r="E102" s="35"/>
      <c r="F102" s="55">
        <f t="shared" si="2"/>
        <v>0</v>
      </c>
      <c r="G102" s="36"/>
      <c r="H102" s="37">
        <v>8</v>
      </c>
      <c r="I102" s="30"/>
    </row>
    <row r="103" spans="1:9" ht="16.5" x14ac:dyDescent="0.25">
      <c r="A103" s="31" t="s">
        <v>189</v>
      </c>
      <c r="B103" s="32"/>
      <c r="C103" s="33">
        <v>2</v>
      </c>
      <c r="D103" s="34"/>
      <c r="E103" s="35"/>
      <c r="F103" s="55">
        <f t="shared" si="2"/>
        <v>0</v>
      </c>
      <c r="G103" s="36"/>
      <c r="H103" s="37">
        <v>2</v>
      </c>
      <c r="I103" s="30"/>
    </row>
    <row r="104" spans="1:9" ht="16.5" x14ac:dyDescent="0.25">
      <c r="A104" s="31">
        <v>471857</v>
      </c>
      <c r="B104" s="32"/>
      <c r="C104" s="33">
        <v>1</v>
      </c>
      <c r="D104" s="34"/>
      <c r="E104" s="35"/>
      <c r="F104" s="55">
        <f t="shared" si="2"/>
        <v>0</v>
      </c>
      <c r="G104" s="36"/>
      <c r="H104" s="37">
        <v>1</v>
      </c>
      <c r="I104" s="30"/>
    </row>
    <row r="105" spans="1:9" ht="16.5" x14ac:dyDescent="0.25">
      <c r="A105" s="31" t="s">
        <v>218</v>
      </c>
      <c r="B105" s="32"/>
      <c r="C105" s="33">
        <v>1</v>
      </c>
      <c r="D105" s="34"/>
      <c r="E105" s="35"/>
      <c r="F105" s="55">
        <f t="shared" si="2"/>
        <v>0</v>
      </c>
      <c r="G105" s="36"/>
      <c r="H105" s="37">
        <v>1</v>
      </c>
      <c r="I105" s="30"/>
    </row>
    <row r="106" spans="1:9" ht="16.5" x14ac:dyDescent="0.25">
      <c r="A106" s="31">
        <v>470322</v>
      </c>
      <c r="B106" s="32"/>
      <c r="C106" s="33">
        <v>1</v>
      </c>
      <c r="D106" s="34"/>
      <c r="E106" s="35"/>
      <c r="F106" s="55">
        <f t="shared" si="2"/>
        <v>0</v>
      </c>
      <c r="G106" s="36"/>
      <c r="H106" s="37">
        <v>1</v>
      </c>
      <c r="I106" s="30"/>
    </row>
    <row r="107" spans="1:9" ht="16.5" x14ac:dyDescent="0.25">
      <c r="A107" s="31" t="s">
        <v>263</v>
      </c>
      <c r="B107" s="32"/>
      <c r="C107" s="33">
        <f>7037+1346</f>
        <v>8383</v>
      </c>
      <c r="D107" s="34"/>
      <c r="E107" s="35">
        <v>5744</v>
      </c>
      <c r="F107" s="66">
        <f t="shared" si="2"/>
        <v>2639</v>
      </c>
      <c r="G107" s="36"/>
      <c r="H107" s="37"/>
      <c r="I107" s="30"/>
    </row>
    <row r="108" spans="1:9" ht="16.5" x14ac:dyDescent="0.25">
      <c r="A108" s="31">
        <v>476239</v>
      </c>
      <c r="B108" s="32"/>
      <c r="C108" s="33">
        <v>2329</v>
      </c>
      <c r="D108" s="34"/>
      <c r="E108" s="35"/>
      <c r="F108" s="66">
        <f t="shared" si="2"/>
        <v>2329</v>
      </c>
      <c r="G108" s="36"/>
      <c r="H108" s="37"/>
      <c r="I108" s="30"/>
    </row>
    <row r="109" spans="1:9" ht="16.5" x14ac:dyDescent="0.25">
      <c r="A109" s="31">
        <v>467791</v>
      </c>
      <c r="B109" s="32"/>
      <c r="C109" s="33">
        <v>2245</v>
      </c>
      <c r="D109" s="34"/>
      <c r="E109" s="35"/>
      <c r="F109" s="66">
        <f t="shared" si="2"/>
        <v>2245</v>
      </c>
      <c r="G109" s="36"/>
      <c r="H109" s="37"/>
      <c r="I109" s="30"/>
    </row>
    <row r="110" spans="1:9" ht="16.5" x14ac:dyDescent="0.25">
      <c r="A110" s="31" t="s">
        <v>264</v>
      </c>
      <c r="B110" s="32"/>
      <c r="C110" s="33">
        <f>3015+50</f>
        <v>3065</v>
      </c>
      <c r="D110" s="34"/>
      <c r="E110" s="35"/>
      <c r="F110" s="66">
        <f t="shared" si="2"/>
        <v>3065</v>
      </c>
      <c r="G110" s="36"/>
      <c r="H110" s="37"/>
      <c r="I110" s="30"/>
    </row>
    <row r="111" spans="1:9" ht="16.5" x14ac:dyDescent="0.25">
      <c r="A111" s="31" t="s">
        <v>265</v>
      </c>
      <c r="B111" s="32"/>
      <c r="C111" s="33">
        <f>83+116</f>
        <v>199</v>
      </c>
      <c r="D111" s="34"/>
      <c r="E111" s="35"/>
      <c r="F111" s="66">
        <f t="shared" si="2"/>
        <v>199</v>
      </c>
      <c r="G111" s="36"/>
      <c r="H111" s="37"/>
      <c r="I111" s="30"/>
    </row>
    <row r="112" spans="1:9" ht="16.5" x14ac:dyDescent="0.25">
      <c r="A112" s="31" t="s">
        <v>268</v>
      </c>
      <c r="B112" s="32"/>
      <c r="C112" s="33">
        <v>7124</v>
      </c>
      <c r="D112" s="34"/>
      <c r="E112" s="35"/>
      <c r="F112" s="66">
        <f t="shared" si="2"/>
        <v>7124</v>
      </c>
      <c r="G112" s="36"/>
      <c r="H112" s="37"/>
      <c r="I112" s="30"/>
    </row>
    <row r="113" spans="1:9" ht="16.5" x14ac:dyDescent="0.25">
      <c r="A113" s="31">
        <v>470390</v>
      </c>
      <c r="B113" s="32"/>
      <c r="C113" s="33">
        <v>351</v>
      </c>
      <c r="D113" s="34"/>
      <c r="E113" s="35"/>
      <c r="F113" s="66">
        <f t="shared" si="2"/>
        <v>351</v>
      </c>
      <c r="G113" s="36"/>
      <c r="H113" s="37"/>
      <c r="I113" s="30"/>
    </row>
    <row r="114" spans="1:9" ht="16.5" x14ac:dyDescent="0.25">
      <c r="A114" s="31">
        <v>476148</v>
      </c>
      <c r="B114" s="32"/>
      <c r="C114" s="33">
        <v>9416</v>
      </c>
      <c r="D114" s="34"/>
      <c r="E114" s="35">
        <v>7916</v>
      </c>
      <c r="F114" s="66">
        <f t="shared" si="2"/>
        <v>1500</v>
      </c>
      <c r="G114" s="36"/>
      <c r="H114" s="37"/>
      <c r="I114" s="30"/>
    </row>
    <row r="115" spans="1:9" ht="16.5" x14ac:dyDescent="0.25">
      <c r="A115" s="31" t="s">
        <v>266</v>
      </c>
      <c r="B115" s="32"/>
      <c r="C115" s="33">
        <v>1573</v>
      </c>
      <c r="D115" s="34"/>
      <c r="E115" s="35">
        <v>1270</v>
      </c>
      <c r="F115" s="66">
        <f t="shared" si="2"/>
        <v>303</v>
      </c>
      <c r="G115" s="36"/>
      <c r="H115" s="37"/>
      <c r="I115" s="30"/>
    </row>
    <row r="116" spans="1:9" ht="16.5" x14ac:dyDescent="0.25">
      <c r="A116" s="31">
        <v>182034833</v>
      </c>
      <c r="B116" s="32">
        <v>2845</v>
      </c>
      <c r="C116" s="33">
        <v>3</v>
      </c>
      <c r="D116" s="34"/>
      <c r="E116" s="35">
        <v>2845</v>
      </c>
      <c r="F116" s="55">
        <f t="shared" si="2"/>
        <v>0</v>
      </c>
      <c r="G116" s="36"/>
      <c r="H116" s="37">
        <v>3</v>
      </c>
      <c r="I116" s="38"/>
    </row>
    <row r="117" spans="1:9" ht="16.5" x14ac:dyDescent="0.25">
      <c r="A117" s="31">
        <v>183034591</v>
      </c>
      <c r="B117" s="32">
        <v>4188</v>
      </c>
      <c r="C117" s="33"/>
      <c r="D117" s="34"/>
      <c r="E117" s="35">
        <v>4130</v>
      </c>
      <c r="F117" s="55">
        <f t="shared" si="2"/>
        <v>0</v>
      </c>
      <c r="G117" s="36">
        <f>61-7</f>
        <v>54</v>
      </c>
      <c r="H117" s="37">
        <v>4</v>
      </c>
      <c r="I117" s="38"/>
    </row>
    <row r="118" spans="1:9" ht="16.5" x14ac:dyDescent="0.25">
      <c r="A118" s="31">
        <v>183034522</v>
      </c>
      <c r="B118" s="32">
        <v>5667</v>
      </c>
      <c r="C118" s="33"/>
      <c r="D118" s="34">
        <v>-94</v>
      </c>
      <c r="E118" s="35">
        <v>5330</v>
      </c>
      <c r="F118" s="55">
        <f t="shared" si="2"/>
        <v>0</v>
      </c>
      <c r="G118" s="36">
        <v>238</v>
      </c>
      <c r="H118" s="37">
        <v>5</v>
      </c>
      <c r="I118" s="38"/>
    </row>
    <row r="119" spans="1:9" ht="16.5" x14ac:dyDescent="0.25">
      <c r="A119" s="31">
        <v>183034592</v>
      </c>
      <c r="B119" s="32">
        <v>140</v>
      </c>
      <c r="C119" s="33">
        <f>40+297+1070+15+65</f>
        <v>1487</v>
      </c>
      <c r="D119" s="34"/>
      <c r="E119" s="35">
        <f>1125+474</f>
        <v>1599</v>
      </c>
      <c r="F119" s="55">
        <f t="shared" si="2"/>
        <v>0</v>
      </c>
      <c r="G119" s="36">
        <v>24</v>
      </c>
      <c r="H119" s="37">
        <v>4</v>
      </c>
      <c r="I119" s="38"/>
    </row>
    <row r="120" spans="1:9" ht="16.5" x14ac:dyDescent="0.25">
      <c r="A120" s="31">
        <v>183033602</v>
      </c>
      <c r="B120" s="32">
        <v>368</v>
      </c>
      <c r="C120" s="33">
        <f>4734+8345+12071+3333+5715+407</f>
        <v>34605</v>
      </c>
      <c r="D120" s="34"/>
      <c r="E120" s="35"/>
      <c r="F120" s="66">
        <f t="shared" si="2"/>
        <v>34973</v>
      </c>
      <c r="G120" s="36"/>
      <c r="H120" s="37"/>
      <c r="I120" s="38"/>
    </row>
    <row r="121" spans="1:9" ht="16.5" x14ac:dyDescent="0.25">
      <c r="A121" s="31">
        <v>183013461</v>
      </c>
      <c r="B121" s="32"/>
      <c r="C121" s="33">
        <v>1252</v>
      </c>
      <c r="D121" s="34"/>
      <c r="E121" s="35">
        <v>1115</v>
      </c>
      <c r="F121" s="66">
        <f t="shared" si="2"/>
        <v>137</v>
      </c>
      <c r="G121" s="36"/>
      <c r="H121" s="37"/>
      <c r="I121" s="38"/>
    </row>
    <row r="122" spans="1:9" ht="16.5" x14ac:dyDescent="0.25">
      <c r="A122" s="31">
        <v>183034538</v>
      </c>
      <c r="B122" s="32"/>
      <c r="C122" s="33">
        <f>7408+106</f>
        <v>7514</v>
      </c>
      <c r="D122" s="34"/>
      <c r="E122" s="35"/>
      <c r="F122" s="66">
        <f t="shared" si="2"/>
        <v>7514</v>
      </c>
      <c r="G122" s="36"/>
      <c r="H122" s="37"/>
      <c r="I122" s="38"/>
    </row>
    <row r="123" spans="1:9" ht="16.5" x14ac:dyDescent="0.25">
      <c r="A123" s="31">
        <v>174034865</v>
      </c>
      <c r="B123" s="32"/>
      <c r="C123" s="33">
        <v>11</v>
      </c>
      <c r="D123" s="34"/>
      <c r="E123" s="35"/>
      <c r="F123" s="55">
        <f t="shared" si="2"/>
        <v>0</v>
      </c>
      <c r="G123" s="36"/>
      <c r="H123" s="37">
        <v>11</v>
      </c>
      <c r="I123" s="38"/>
    </row>
    <row r="124" spans="1:9" ht="16.5" x14ac:dyDescent="0.25">
      <c r="A124" s="31">
        <v>183034540</v>
      </c>
      <c r="B124" s="32"/>
      <c r="C124" s="33">
        <v>1105</v>
      </c>
      <c r="D124" s="34"/>
      <c r="E124" s="35">
        <v>800</v>
      </c>
      <c r="F124" s="66">
        <f t="shared" si="2"/>
        <v>305</v>
      </c>
      <c r="G124" s="36"/>
      <c r="H124" s="37"/>
      <c r="I124" s="38"/>
    </row>
    <row r="125" spans="1:9" ht="16.5" x14ac:dyDescent="0.25">
      <c r="A125" s="31" t="s">
        <v>235</v>
      </c>
      <c r="B125" s="32">
        <v>437</v>
      </c>
      <c r="C125" s="33">
        <f>474+15+64+20</f>
        <v>573</v>
      </c>
      <c r="D125" s="34"/>
      <c r="E125" s="35">
        <f>558+450</f>
        <v>1008</v>
      </c>
      <c r="F125" s="55">
        <f t="shared" si="2"/>
        <v>0</v>
      </c>
      <c r="G125" s="36"/>
      <c r="H125" s="37">
        <v>2</v>
      </c>
      <c r="I125" s="38"/>
    </row>
    <row r="126" spans="1:9" ht="16.5" x14ac:dyDescent="0.25">
      <c r="A126" s="31" t="s">
        <v>236</v>
      </c>
      <c r="B126" s="32">
        <v>1171</v>
      </c>
      <c r="C126" s="33">
        <v>64</v>
      </c>
      <c r="D126" s="34"/>
      <c r="E126" s="35">
        <v>1233</v>
      </c>
      <c r="F126" s="55">
        <f t="shared" ref="F126:F140" si="3">+B126+C126+D126-E126-G126-H126-I126</f>
        <v>0</v>
      </c>
      <c r="G126" s="36"/>
      <c r="H126" s="37">
        <v>2</v>
      </c>
      <c r="I126" s="38"/>
    </row>
    <row r="127" spans="1:9" ht="16.5" x14ac:dyDescent="0.25">
      <c r="A127" s="31" t="s">
        <v>250</v>
      </c>
      <c r="B127" s="32"/>
      <c r="C127" s="33">
        <f>698+127</f>
        <v>825</v>
      </c>
      <c r="D127" s="34"/>
      <c r="E127" s="35">
        <v>804</v>
      </c>
      <c r="F127" s="55">
        <f t="shared" si="3"/>
        <v>0</v>
      </c>
      <c r="G127" s="36"/>
      <c r="H127" s="37">
        <v>3</v>
      </c>
      <c r="I127" s="38">
        <v>18</v>
      </c>
    </row>
    <row r="128" spans="1:9" ht="16.5" x14ac:dyDescent="0.25">
      <c r="A128" s="31" t="s">
        <v>251</v>
      </c>
      <c r="B128" s="32"/>
      <c r="C128" s="33">
        <f>5298+770+250</f>
        <v>6318</v>
      </c>
      <c r="D128" s="34"/>
      <c r="E128" s="35">
        <v>4972</v>
      </c>
      <c r="F128" s="66">
        <f t="shared" si="3"/>
        <v>1345</v>
      </c>
      <c r="G128" s="36"/>
      <c r="H128" s="37">
        <v>1</v>
      </c>
      <c r="I128" s="38"/>
    </row>
    <row r="129" spans="1:9" ht="16.5" x14ac:dyDescent="0.25">
      <c r="A129" s="31" t="s">
        <v>216</v>
      </c>
      <c r="B129" s="32">
        <v>5304</v>
      </c>
      <c r="C129" s="33">
        <v>138</v>
      </c>
      <c r="D129" s="34"/>
      <c r="E129" s="35">
        <v>5407</v>
      </c>
      <c r="F129" s="55">
        <f t="shared" si="3"/>
        <v>0</v>
      </c>
      <c r="G129" s="36">
        <f>15+20</f>
        <v>35</v>
      </c>
      <c r="H129" s="37"/>
      <c r="I129" s="38"/>
    </row>
    <row r="130" spans="1:9" ht="16.5" x14ac:dyDescent="0.25">
      <c r="A130" s="31" t="s">
        <v>242</v>
      </c>
      <c r="B130" s="32"/>
      <c r="C130" s="33">
        <f>3804+350</f>
        <v>4154</v>
      </c>
      <c r="D130" s="34"/>
      <c r="E130" s="35"/>
      <c r="F130" s="66">
        <f t="shared" si="3"/>
        <v>4154</v>
      </c>
      <c r="G130" s="36"/>
      <c r="H130" s="37"/>
      <c r="I130" s="38"/>
    </row>
    <row r="131" spans="1:9" ht="16.5" x14ac:dyDescent="0.25">
      <c r="A131" s="31" t="s">
        <v>203</v>
      </c>
      <c r="B131" s="32">
        <v>2490</v>
      </c>
      <c r="C131" s="33">
        <f>8+33+8+11+14+27+1+3+4-22</f>
        <v>87</v>
      </c>
      <c r="D131" s="34"/>
      <c r="E131" s="35">
        <v>2568</v>
      </c>
      <c r="F131" s="66">
        <f t="shared" si="3"/>
        <v>0</v>
      </c>
      <c r="G131" s="36"/>
      <c r="H131" s="37">
        <v>9</v>
      </c>
      <c r="I131" s="38"/>
    </row>
    <row r="132" spans="1:9" ht="16.5" x14ac:dyDescent="0.25">
      <c r="A132" s="31" t="s">
        <v>215</v>
      </c>
      <c r="B132" s="32">
        <v>9273</v>
      </c>
      <c r="C132" s="33">
        <f>58+6+-1</f>
        <v>63</v>
      </c>
      <c r="D132" s="34"/>
      <c r="E132" s="35">
        <v>9329</v>
      </c>
      <c r="F132" s="66">
        <f t="shared" si="3"/>
        <v>0</v>
      </c>
      <c r="G132" s="36"/>
      <c r="H132" s="37">
        <v>7</v>
      </c>
      <c r="I132" s="38"/>
    </row>
    <row r="133" spans="1:9" ht="16.5" x14ac:dyDescent="0.25">
      <c r="A133" s="31" t="s">
        <v>241</v>
      </c>
      <c r="B133" s="32"/>
      <c r="C133" s="33">
        <f>5955+539+30+7+1617+945+258+188+643</f>
        <v>10182</v>
      </c>
      <c r="D133" s="34"/>
      <c r="E133" s="35"/>
      <c r="F133" s="66">
        <f t="shared" si="3"/>
        <v>10182</v>
      </c>
      <c r="G133" s="36"/>
      <c r="H133" s="37"/>
      <c r="I133" s="38"/>
    </row>
    <row r="134" spans="1:9" ht="16.5" x14ac:dyDescent="0.25">
      <c r="A134" s="31" t="s">
        <v>243</v>
      </c>
      <c r="B134" s="32"/>
      <c r="C134" s="33">
        <v>1379</v>
      </c>
      <c r="D134" s="34"/>
      <c r="E134" s="35"/>
      <c r="F134" s="66">
        <f t="shared" si="3"/>
        <v>1379</v>
      </c>
      <c r="G134" s="36"/>
      <c r="H134" s="37"/>
      <c r="I134" s="38"/>
    </row>
    <row r="135" spans="1:9" ht="16.5" x14ac:dyDescent="0.25">
      <c r="A135" s="31" t="s">
        <v>239</v>
      </c>
      <c r="B135" s="32"/>
      <c r="C135" s="33">
        <f>616+237</f>
        <v>853</v>
      </c>
      <c r="D135" s="34"/>
      <c r="E135" s="35">
        <v>800</v>
      </c>
      <c r="F135" s="55">
        <f t="shared" si="3"/>
        <v>0</v>
      </c>
      <c r="G135" s="36">
        <v>53</v>
      </c>
      <c r="H135" s="37"/>
      <c r="I135" s="38"/>
    </row>
    <row r="136" spans="1:9" ht="16.5" x14ac:dyDescent="0.25">
      <c r="A136" s="31" t="s">
        <v>238</v>
      </c>
      <c r="B136" s="32"/>
      <c r="C136" s="33">
        <v>4250</v>
      </c>
      <c r="D136" s="34"/>
      <c r="E136" s="35">
        <v>4250</v>
      </c>
      <c r="F136" s="55">
        <f t="shared" si="3"/>
        <v>0</v>
      </c>
      <c r="G136" s="36"/>
      <c r="H136" s="37"/>
      <c r="I136" s="38"/>
    </row>
    <row r="137" spans="1:9" ht="16.5" x14ac:dyDescent="0.25">
      <c r="A137" s="31" t="s">
        <v>214</v>
      </c>
      <c r="B137" s="32">
        <v>1331</v>
      </c>
      <c r="C137" s="33">
        <f>700+191+213+36+480+79</f>
        <v>1699</v>
      </c>
      <c r="D137" s="34"/>
      <c r="E137" s="35">
        <v>2587</v>
      </c>
      <c r="F137" s="55">
        <f t="shared" si="3"/>
        <v>0</v>
      </c>
      <c r="G137" s="36">
        <f>502-76</f>
        <v>426</v>
      </c>
      <c r="H137" s="37">
        <v>17</v>
      </c>
      <c r="I137" s="38"/>
    </row>
    <row r="138" spans="1:9" ht="16.5" x14ac:dyDescent="0.25">
      <c r="A138" s="31" t="s">
        <v>260</v>
      </c>
      <c r="B138" s="32"/>
      <c r="C138" s="33">
        <f>6179+612+3675+2</f>
        <v>10468</v>
      </c>
      <c r="D138" s="34"/>
      <c r="E138" s="35"/>
      <c r="F138" s="66">
        <f t="shared" si="3"/>
        <v>10468</v>
      </c>
      <c r="G138" s="36"/>
      <c r="H138" s="37"/>
      <c r="I138" s="38"/>
    </row>
    <row r="139" spans="1:9" ht="16.5" x14ac:dyDescent="0.25">
      <c r="A139" s="31" t="s">
        <v>261</v>
      </c>
      <c r="B139" s="32"/>
      <c r="C139" s="33">
        <v>2600</v>
      </c>
      <c r="D139" s="34"/>
      <c r="E139" s="35"/>
      <c r="F139" s="66">
        <f t="shared" si="3"/>
        <v>2600</v>
      </c>
      <c r="G139" s="36"/>
      <c r="H139" s="37"/>
      <c r="I139" s="38"/>
    </row>
    <row r="140" spans="1:9" ht="16.5" x14ac:dyDescent="0.25">
      <c r="A140" s="31" t="s">
        <v>262</v>
      </c>
      <c r="B140" s="32"/>
      <c r="C140" s="33">
        <v>2793</v>
      </c>
      <c r="D140" s="34"/>
      <c r="E140" s="35"/>
      <c r="F140" s="66">
        <f t="shared" si="3"/>
        <v>2793</v>
      </c>
      <c r="G140" s="36"/>
      <c r="H140" s="37"/>
      <c r="I140" s="38"/>
    </row>
    <row r="141" spans="1:9" ht="16.5" x14ac:dyDescent="0.25">
      <c r="A141" s="150"/>
      <c r="B141" s="39">
        <f t="shared" ref="B141:I141" si="4">SUM(B5:B140)</f>
        <v>166221</v>
      </c>
      <c r="C141" s="39">
        <f t="shared" si="4"/>
        <v>384995</v>
      </c>
      <c r="D141" s="39">
        <f t="shared" si="4"/>
        <v>-217</v>
      </c>
      <c r="E141" s="39">
        <f t="shared" si="4"/>
        <v>361241</v>
      </c>
      <c r="F141" s="39">
        <f t="shared" si="4"/>
        <v>184933</v>
      </c>
      <c r="G141" s="39">
        <f t="shared" si="4"/>
        <v>4157</v>
      </c>
      <c r="H141" s="39">
        <f t="shared" si="4"/>
        <v>614</v>
      </c>
      <c r="I141" s="39">
        <f t="shared" si="4"/>
        <v>54</v>
      </c>
    </row>
  </sheetData>
  <autoFilter ref="A4:I141" xr:uid="{00000000-0009-0000-0000-00000E000000}"/>
  <mergeCells count="2">
    <mergeCell ref="A1:I1"/>
    <mergeCell ref="A2:I2"/>
  </mergeCells>
  <printOptions horizontalCentered="1" verticalCentered="1"/>
  <pageMargins left="0" right="0" top="0" bottom="0" header="0" footer="0"/>
  <pageSetup paperSize="9" scale="56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39997558519241921"/>
  </sheetPr>
  <dimension ref="A1:H60"/>
  <sheetViews>
    <sheetView topLeftCell="A37" zoomScaleNormal="100" workbookViewId="0">
      <selection activeCell="L50" sqref="L50"/>
    </sheetView>
  </sheetViews>
  <sheetFormatPr defaultRowHeight="15" x14ac:dyDescent="0.25"/>
  <cols>
    <col min="1" max="1" width="9" style="97" bestFit="1" customWidth="1"/>
    <col min="2" max="2" width="24.28515625" style="97" bestFit="1" customWidth="1"/>
    <col min="3" max="3" width="20.5703125" style="97" customWidth="1"/>
    <col min="4" max="4" width="22" style="97" bestFit="1" customWidth="1"/>
    <col min="5" max="5" width="13.28515625" style="97" customWidth="1"/>
    <col min="6" max="6" width="19" style="97" customWidth="1"/>
    <col min="7" max="7" width="9.28515625" style="97" bestFit="1" customWidth="1"/>
    <col min="8" max="8" width="14" style="97" bestFit="1" customWidth="1"/>
    <col min="9" max="16384" width="9.140625" style="97"/>
  </cols>
  <sheetData>
    <row r="1" spans="1:8" x14ac:dyDescent="0.25">
      <c r="A1" s="162" t="s">
        <v>192</v>
      </c>
      <c r="B1" s="162"/>
      <c r="C1" s="162"/>
      <c r="D1" s="162"/>
      <c r="E1" s="162"/>
      <c r="F1" s="162"/>
      <c r="G1" s="162"/>
      <c r="H1" s="162"/>
    </row>
    <row r="2" spans="1:8" s="50" customFormat="1" x14ac:dyDescent="0.25">
      <c r="A2" s="53" t="s">
        <v>123</v>
      </c>
      <c r="B2" s="53" t="s">
        <v>0</v>
      </c>
      <c r="C2" s="53" t="s">
        <v>124</v>
      </c>
      <c r="D2" s="53" t="s">
        <v>61</v>
      </c>
      <c r="E2" s="53" t="s">
        <v>125</v>
      </c>
      <c r="F2" s="72" t="s">
        <v>126</v>
      </c>
      <c r="G2" s="50" t="s">
        <v>165</v>
      </c>
      <c r="H2" s="50" t="s">
        <v>1</v>
      </c>
    </row>
    <row r="3" spans="1:8" x14ac:dyDescent="0.25">
      <c r="A3" s="57">
        <v>43129</v>
      </c>
      <c r="B3" s="58" t="s">
        <v>12</v>
      </c>
      <c r="C3" s="59" t="s">
        <v>11</v>
      </c>
      <c r="D3" s="70">
        <v>460727</v>
      </c>
      <c r="E3" s="71">
        <v>900</v>
      </c>
      <c r="F3" s="56">
        <v>869</v>
      </c>
      <c r="G3" s="73">
        <v>18</v>
      </c>
      <c r="H3" s="93">
        <f t="shared" ref="H3:H13" si="0">+F3-E3</f>
        <v>-31</v>
      </c>
    </row>
    <row r="4" spans="1:8" x14ac:dyDescent="0.25">
      <c r="A4" s="57">
        <v>43125</v>
      </c>
      <c r="B4" s="58" t="s">
        <v>10</v>
      </c>
      <c r="C4" s="59" t="s">
        <v>11</v>
      </c>
      <c r="D4" s="70">
        <v>460895</v>
      </c>
      <c r="E4" s="71">
        <v>1150</v>
      </c>
      <c r="F4" s="56">
        <v>1142</v>
      </c>
      <c r="G4" s="73">
        <v>26</v>
      </c>
      <c r="H4" s="93">
        <f t="shared" si="0"/>
        <v>-8</v>
      </c>
    </row>
    <row r="5" spans="1:8" x14ac:dyDescent="0.25">
      <c r="A5" s="57">
        <v>43111</v>
      </c>
      <c r="B5" s="58" t="s">
        <v>10</v>
      </c>
      <c r="C5" s="59" t="s">
        <v>11</v>
      </c>
      <c r="D5" s="70">
        <v>465465</v>
      </c>
      <c r="E5" s="71">
        <v>550</v>
      </c>
      <c r="F5" s="56">
        <v>546</v>
      </c>
      <c r="G5" s="73">
        <v>14</v>
      </c>
      <c r="H5" s="93">
        <f t="shared" si="0"/>
        <v>-4</v>
      </c>
    </row>
    <row r="6" spans="1:8" x14ac:dyDescent="0.25">
      <c r="A6" s="57">
        <v>43124</v>
      </c>
      <c r="B6" s="58" t="s">
        <v>12</v>
      </c>
      <c r="C6" s="59" t="s">
        <v>2</v>
      </c>
      <c r="D6" s="70">
        <v>100008703</v>
      </c>
      <c r="E6" s="71">
        <v>687</v>
      </c>
      <c r="F6" s="56">
        <v>495</v>
      </c>
      <c r="G6" s="73">
        <v>53</v>
      </c>
      <c r="H6" s="93">
        <f t="shared" si="0"/>
        <v>-192</v>
      </c>
    </row>
    <row r="7" spans="1:8" x14ac:dyDescent="0.25">
      <c r="A7" s="57">
        <v>43124</v>
      </c>
      <c r="B7" s="58" t="s">
        <v>12</v>
      </c>
      <c r="C7" s="59" t="s">
        <v>2</v>
      </c>
      <c r="D7" s="70">
        <v>100008773</v>
      </c>
      <c r="E7" s="71">
        <v>434</v>
      </c>
      <c r="F7" s="56">
        <v>253</v>
      </c>
      <c r="G7" s="73">
        <v>23</v>
      </c>
      <c r="H7" s="93">
        <f t="shared" si="0"/>
        <v>-181</v>
      </c>
    </row>
    <row r="8" spans="1:8" x14ac:dyDescent="0.25">
      <c r="A8" s="57">
        <v>43124</v>
      </c>
      <c r="B8" s="58" t="s">
        <v>12</v>
      </c>
      <c r="C8" s="59" t="s">
        <v>2</v>
      </c>
      <c r="D8" s="70" t="s">
        <v>115</v>
      </c>
      <c r="E8" s="98">
        <v>3890</v>
      </c>
      <c r="F8" s="56">
        <v>3836</v>
      </c>
      <c r="G8" s="73">
        <v>260</v>
      </c>
      <c r="H8" s="93">
        <f t="shared" si="0"/>
        <v>-54</v>
      </c>
    </row>
    <row r="9" spans="1:8" ht="15.75" thickBot="1" x14ac:dyDescent="0.3">
      <c r="A9" s="120">
        <v>43109</v>
      </c>
      <c r="B9" s="121" t="s">
        <v>7</v>
      </c>
      <c r="C9" s="122" t="s">
        <v>8</v>
      </c>
      <c r="D9" s="99" t="s">
        <v>9</v>
      </c>
      <c r="E9" s="100">
        <v>3599</v>
      </c>
      <c r="F9" s="122">
        <v>3571</v>
      </c>
      <c r="G9" s="101">
        <v>18</v>
      </c>
      <c r="H9" s="102">
        <f t="shared" si="0"/>
        <v>-28</v>
      </c>
    </row>
    <row r="10" spans="1:8" x14ac:dyDescent="0.25">
      <c r="A10" s="60">
        <v>43134</v>
      </c>
      <c r="B10" s="61" t="s">
        <v>13</v>
      </c>
      <c r="C10" s="103" t="s">
        <v>2</v>
      </c>
      <c r="D10" s="104" t="s">
        <v>114</v>
      </c>
      <c r="E10" s="105">
        <v>1392</v>
      </c>
      <c r="F10" s="62">
        <v>1365</v>
      </c>
      <c r="G10" s="106">
        <v>146</v>
      </c>
      <c r="H10" s="107">
        <f t="shared" si="0"/>
        <v>-27</v>
      </c>
    </row>
    <row r="11" spans="1:8" x14ac:dyDescent="0.25">
      <c r="A11" s="57">
        <v>43134</v>
      </c>
      <c r="B11" s="58" t="s">
        <v>13</v>
      </c>
      <c r="C11" s="59" t="s">
        <v>2</v>
      </c>
      <c r="D11" s="70" t="s">
        <v>162</v>
      </c>
      <c r="E11" s="71">
        <v>2920</v>
      </c>
      <c r="F11" s="56">
        <v>2892</v>
      </c>
      <c r="G11" s="73">
        <v>202</v>
      </c>
      <c r="H11" s="74">
        <f t="shared" si="0"/>
        <v>-28</v>
      </c>
    </row>
    <row r="12" spans="1:8" x14ac:dyDescent="0.25">
      <c r="A12" s="57">
        <v>43140</v>
      </c>
      <c r="B12" s="58" t="s">
        <v>12</v>
      </c>
      <c r="C12" s="59" t="s">
        <v>2</v>
      </c>
      <c r="D12" s="70">
        <v>100008598</v>
      </c>
      <c r="E12" s="71">
        <v>901</v>
      </c>
      <c r="F12" s="56">
        <v>889</v>
      </c>
      <c r="G12" s="73">
        <v>84</v>
      </c>
      <c r="H12" s="74">
        <f t="shared" si="0"/>
        <v>-12</v>
      </c>
    </row>
    <row r="13" spans="1:8" ht="15.75" thickBot="1" x14ac:dyDescent="0.3">
      <c r="A13" s="75">
        <v>43134</v>
      </c>
      <c r="B13" s="76" t="s">
        <v>13</v>
      </c>
      <c r="C13" s="94" t="s">
        <v>21</v>
      </c>
      <c r="D13" s="108" t="s">
        <v>22</v>
      </c>
      <c r="E13" s="98">
        <v>5433</v>
      </c>
      <c r="F13" s="77">
        <v>5205</v>
      </c>
      <c r="G13" s="109">
        <v>562</v>
      </c>
      <c r="H13" s="93">
        <f t="shared" si="0"/>
        <v>-228</v>
      </c>
    </row>
    <row r="14" spans="1:8" ht="15.75" thickTop="1" x14ac:dyDescent="0.25">
      <c r="A14" s="91">
        <v>43181</v>
      </c>
      <c r="B14" s="79" t="s">
        <v>10</v>
      </c>
      <c r="C14" s="78" t="s">
        <v>11</v>
      </c>
      <c r="D14" s="80">
        <v>463022</v>
      </c>
      <c r="E14" s="95">
        <v>3050</v>
      </c>
      <c r="F14" s="82">
        <v>3024</v>
      </c>
      <c r="G14" s="83">
        <v>31</v>
      </c>
      <c r="H14" s="84">
        <f t="shared" ref="H14:H31" si="1">+F14-E14</f>
        <v>-26</v>
      </c>
    </row>
    <row r="15" spans="1:8" x14ac:dyDescent="0.25">
      <c r="A15" s="67">
        <v>43181</v>
      </c>
      <c r="B15" s="86" t="s">
        <v>10</v>
      </c>
      <c r="C15" s="85" t="s">
        <v>11</v>
      </c>
      <c r="D15" s="70">
        <v>463036</v>
      </c>
      <c r="E15" s="96">
        <v>3500</v>
      </c>
      <c r="F15" s="88">
        <v>3373</v>
      </c>
      <c r="G15" s="89">
        <v>33</v>
      </c>
      <c r="H15" s="90">
        <f t="shared" si="1"/>
        <v>-127</v>
      </c>
    </row>
    <row r="16" spans="1:8" x14ac:dyDescent="0.25">
      <c r="A16" s="67">
        <v>43171</v>
      </c>
      <c r="B16" s="68" t="s">
        <v>12</v>
      </c>
      <c r="C16" s="69" t="s">
        <v>11</v>
      </c>
      <c r="D16" s="70">
        <v>466852</v>
      </c>
      <c r="E16" s="92">
        <v>6868</v>
      </c>
      <c r="F16" s="72">
        <v>6850</v>
      </c>
      <c r="G16" s="73">
        <v>97</v>
      </c>
      <c r="H16" s="74">
        <f t="shared" si="1"/>
        <v>-18</v>
      </c>
    </row>
    <row r="17" spans="1:8" x14ac:dyDescent="0.25">
      <c r="A17" s="67">
        <v>43180</v>
      </c>
      <c r="B17" s="68" t="s">
        <v>10</v>
      </c>
      <c r="C17" s="69" t="s">
        <v>11</v>
      </c>
      <c r="D17" s="70">
        <v>468229</v>
      </c>
      <c r="E17" s="92">
        <v>14650</v>
      </c>
      <c r="F17" s="72">
        <v>14629</v>
      </c>
      <c r="G17" s="73">
        <v>123</v>
      </c>
      <c r="H17" s="74">
        <f t="shared" si="1"/>
        <v>-21</v>
      </c>
    </row>
    <row r="18" spans="1:8" x14ac:dyDescent="0.25">
      <c r="A18" s="67">
        <v>43167</v>
      </c>
      <c r="B18" s="68" t="s">
        <v>10</v>
      </c>
      <c r="C18" s="69" t="s">
        <v>11</v>
      </c>
      <c r="D18" s="70">
        <v>468249</v>
      </c>
      <c r="E18" s="92">
        <v>10802</v>
      </c>
      <c r="F18" s="72">
        <v>10017</v>
      </c>
      <c r="G18" s="73">
        <v>117</v>
      </c>
      <c r="H18" s="74">
        <f t="shared" si="1"/>
        <v>-785</v>
      </c>
    </row>
    <row r="19" spans="1:8" x14ac:dyDescent="0.25">
      <c r="A19" s="67">
        <v>43171</v>
      </c>
      <c r="B19" s="68" t="s">
        <v>10</v>
      </c>
      <c r="C19" s="69" t="s">
        <v>11</v>
      </c>
      <c r="D19" s="70">
        <v>468522</v>
      </c>
      <c r="E19" s="92">
        <v>300</v>
      </c>
      <c r="F19" s="72">
        <v>296</v>
      </c>
      <c r="G19" s="73">
        <v>14</v>
      </c>
      <c r="H19" s="74">
        <f t="shared" si="1"/>
        <v>-4</v>
      </c>
    </row>
    <row r="20" spans="1:8" x14ac:dyDescent="0.25">
      <c r="A20" s="67">
        <v>43188</v>
      </c>
      <c r="B20" s="68" t="s">
        <v>12</v>
      </c>
      <c r="C20" s="69" t="s">
        <v>11</v>
      </c>
      <c r="D20" s="70">
        <v>468585</v>
      </c>
      <c r="E20" s="92">
        <v>6510</v>
      </c>
      <c r="F20" s="72">
        <v>6361</v>
      </c>
      <c r="G20" s="73">
        <v>93</v>
      </c>
      <c r="H20" s="74">
        <f t="shared" si="1"/>
        <v>-149</v>
      </c>
    </row>
    <row r="21" spans="1:8" x14ac:dyDescent="0.25">
      <c r="A21" s="67">
        <v>43181</v>
      </c>
      <c r="B21" s="68" t="s">
        <v>10</v>
      </c>
      <c r="C21" s="69" t="s">
        <v>11</v>
      </c>
      <c r="D21" s="70">
        <v>469702</v>
      </c>
      <c r="E21" s="92">
        <v>650</v>
      </c>
      <c r="F21" s="72">
        <v>624</v>
      </c>
      <c r="G21" s="73">
        <v>10</v>
      </c>
      <c r="H21" s="74">
        <f t="shared" si="1"/>
        <v>-26</v>
      </c>
    </row>
    <row r="22" spans="1:8" x14ac:dyDescent="0.25">
      <c r="A22" s="67">
        <v>43188</v>
      </c>
      <c r="B22" s="68" t="s">
        <v>12</v>
      </c>
      <c r="C22" s="69" t="s">
        <v>11</v>
      </c>
      <c r="D22" s="70">
        <v>470037</v>
      </c>
      <c r="E22" s="92">
        <v>2726</v>
      </c>
      <c r="F22" s="72">
        <v>2616</v>
      </c>
      <c r="G22" s="73">
        <v>36</v>
      </c>
      <c r="H22" s="74">
        <f t="shared" si="1"/>
        <v>-110</v>
      </c>
    </row>
    <row r="23" spans="1:8" x14ac:dyDescent="0.25">
      <c r="A23" s="67">
        <v>43160</v>
      </c>
      <c r="B23" s="68" t="s">
        <v>12</v>
      </c>
      <c r="C23" s="69" t="s">
        <v>2</v>
      </c>
      <c r="D23" s="70">
        <v>100009622</v>
      </c>
      <c r="E23" s="92">
        <v>901</v>
      </c>
      <c r="F23" s="72">
        <v>868</v>
      </c>
      <c r="G23" s="73">
        <v>26</v>
      </c>
      <c r="H23" s="74">
        <f t="shared" si="1"/>
        <v>-33</v>
      </c>
    </row>
    <row r="24" spans="1:8" x14ac:dyDescent="0.25">
      <c r="A24" s="67">
        <v>43187</v>
      </c>
      <c r="B24" s="68" t="s">
        <v>12</v>
      </c>
      <c r="C24" s="69" t="s">
        <v>2</v>
      </c>
      <c r="D24" s="70">
        <v>100015173</v>
      </c>
      <c r="E24" s="92">
        <v>1663</v>
      </c>
      <c r="F24" s="72">
        <v>1533</v>
      </c>
      <c r="G24" s="73">
        <v>51</v>
      </c>
      <c r="H24" s="74">
        <f t="shared" si="1"/>
        <v>-130</v>
      </c>
    </row>
    <row r="25" spans="1:8" x14ac:dyDescent="0.25">
      <c r="A25" s="67">
        <v>43169</v>
      </c>
      <c r="B25" s="68" t="s">
        <v>184</v>
      </c>
      <c r="C25" s="69" t="s">
        <v>2</v>
      </c>
      <c r="D25" s="70" t="s">
        <v>186</v>
      </c>
      <c r="E25" s="92">
        <v>3150</v>
      </c>
      <c r="F25" s="72">
        <v>2790</v>
      </c>
      <c r="G25" s="73">
        <v>258</v>
      </c>
      <c r="H25" s="74">
        <f t="shared" si="1"/>
        <v>-360</v>
      </c>
    </row>
    <row r="26" spans="1:8" x14ac:dyDescent="0.25">
      <c r="A26" s="67">
        <v>43169</v>
      </c>
      <c r="B26" s="68" t="s">
        <v>184</v>
      </c>
      <c r="C26" s="69" t="s">
        <v>2</v>
      </c>
      <c r="D26" s="70" t="s">
        <v>183</v>
      </c>
      <c r="E26" s="92">
        <v>4071</v>
      </c>
      <c r="F26" s="72">
        <v>3951</v>
      </c>
      <c r="G26" s="73">
        <v>308</v>
      </c>
      <c r="H26" s="74">
        <f t="shared" si="1"/>
        <v>-120</v>
      </c>
    </row>
    <row r="27" spans="1:8" x14ac:dyDescent="0.25">
      <c r="A27" s="67">
        <v>43169</v>
      </c>
      <c r="B27" s="68" t="s">
        <v>184</v>
      </c>
      <c r="C27" s="69" t="s">
        <v>2</v>
      </c>
      <c r="D27" s="70" t="s">
        <v>187</v>
      </c>
      <c r="E27" s="92">
        <v>3582</v>
      </c>
      <c r="F27" s="72">
        <v>3534</v>
      </c>
      <c r="G27" s="73">
        <v>258</v>
      </c>
      <c r="H27" s="74">
        <f t="shared" si="1"/>
        <v>-48</v>
      </c>
    </row>
    <row r="28" spans="1:8" x14ac:dyDescent="0.25">
      <c r="A28" s="67">
        <v>43169</v>
      </c>
      <c r="B28" s="68" t="s">
        <v>184</v>
      </c>
      <c r="C28" s="69" t="s">
        <v>21</v>
      </c>
      <c r="D28" s="70">
        <v>100021861</v>
      </c>
      <c r="E28" s="92">
        <v>1044</v>
      </c>
      <c r="F28" s="72">
        <v>996</v>
      </c>
      <c r="G28" s="73">
        <v>52</v>
      </c>
      <c r="H28" s="74">
        <f t="shared" si="1"/>
        <v>-48</v>
      </c>
    </row>
    <row r="29" spans="1:8" x14ac:dyDescent="0.25">
      <c r="A29" s="67">
        <v>43189</v>
      </c>
      <c r="B29" s="68" t="s">
        <v>14</v>
      </c>
      <c r="C29" s="69" t="s">
        <v>109</v>
      </c>
      <c r="D29" s="70">
        <v>182013373</v>
      </c>
      <c r="E29" s="92">
        <v>9200</v>
      </c>
      <c r="F29" s="72">
        <v>9088</v>
      </c>
      <c r="G29" s="73">
        <v>102</v>
      </c>
      <c r="H29" s="74">
        <f t="shared" si="1"/>
        <v>-112</v>
      </c>
    </row>
    <row r="30" spans="1:8" x14ac:dyDescent="0.25">
      <c r="A30" s="67">
        <v>43166</v>
      </c>
      <c r="B30" s="68" t="s">
        <v>184</v>
      </c>
      <c r="C30" s="69" t="s">
        <v>4</v>
      </c>
      <c r="D30" s="70" t="s">
        <v>5</v>
      </c>
      <c r="E30" s="92">
        <v>3500</v>
      </c>
      <c r="F30" s="72">
        <v>3371</v>
      </c>
      <c r="G30" s="73">
        <v>99</v>
      </c>
      <c r="H30" s="74">
        <f t="shared" si="1"/>
        <v>-129</v>
      </c>
    </row>
    <row r="31" spans="1:8" ht="15.75" thickBot="1" x14ac:dyDescent="0.3">
      <c r="A31" s="139">
        <v>43166</v>
      </c>
      <c r="B31" s="140" t="s">
        <v>184</v>
      </c>
      <c r="C31" s="114" t="s">
        <v>4</v>
      </c>
      <c r="D31" s="108" t="s">
        <v>164</v>
      </c>
      <c r="E31" s="138">
        <v>4003</v>
      </c>
      <c r="F31" s="141">
        <v>3984</v>
      </c>
      <c r="G31" s="109">
        <v>77</v>
      </c>
      <c r="H31" s="93">
        <f t="shared" si="1"/>
        <v>-19</v>
      </c>
    </row>
    <row r="32" spans="1:8" ht="15.75" thickTop="1" x14ac:dyDescent="0.25">
      <c r="A32" s="142">
        <v>43197</v>
      </c>
      <c r="B32" s="143" t="s">
        <v>184</v>
      </c>
      <c r="C32" s="144" t="s">
        <v>2</v>
      </c>
      <c r="D32" s="80" t="s">
        <v>205</v>
      </c>
      <c r="E32" s="145">
        <v>2055</v>
      </c>
      <c r="F32" s="146">
        <v>1959</v>
      </c>
      <c r="G32" s="147">
        <v>187</v>
      </c>
      <c r="H32" s="148">
        <f t="shared" ref="H32:H60" si="2">+F32-E32</f>
        <v>-96</v>
      </c>
    </row>
    <row r="33" spans="1:8" x14ac:dyDescent="0.25">
      <c r="A33" s="137">
        <v>43197</v>
      </c>
      <c r="B33" s="68" t="s">
        <v>184</v>
      </c>
      <c r="C33" s="69" t="s">
        <v>2</v>
      </c>
      <c r="D33" s="70" t="s">
        <v>204</v>
      </c>
      <c r="E33" s="92">
        <v>6039</v>
      </c>
      <c r="F33" s="72">
        <v>5994</v>
      </c>
      <c r="G33" s="73">
        <v>559</v>
      </c>
      <c r="H33" s="74">
        <f t="shared" si="2"/>
        <v>-45</v>
      </c>
    </row>
    <row r="34" spans="1:8" x14ac:dyDescent="0.25">
      <c r="A34" s="137">
        <v>43197</v>
      </c>
      <c r="B34" s="68" t="s">
        <v>184</v>
      </c>
      <c r="C34" s="69" t="s">
        <v>2</v>
      </c>
      <c r="D34" s="70" t="s">
        <v>209</v>
      </c>
      <c r="E34" s="92">
        <v>1263</v>
      </c>
      <c r="F34" s="72">
        <v>1200</v>
      </c>
      <c r="G34" s="73">
        <v>113</v>
      </c>
      <c r="H34" s="74">
        <f t="shared" si="2"/>
        <v>-63</v>
      </c>
    </row>
    <row r="35" spans="1:8" x14ac:dyDescent="0.25">
      <c r="A35" s="137">
        <v>43197</v>
      </c>
      <c r="B35" s="68" t="s">
        <v>184</v>
      </c>
      <c r="C35" s="69" t="s">
        <v>2</v>
      </c>
      <c r="D35" s="70" t="s">
        <v>210</v>
      </c>
      <c r="E35" s="92">
        <v>2244</v>
      </c>
      <c r="F35" s="72">
        <v>2136</v>
      </c>
      <c r="G35" s="73">
        <v>215</v>
      </c>
      <c r="H35" s="74">
        <f t="shared" si="2"/>
        <v>-108</v>
      </c>
    </row>
    <row r="36" spans="1:8" x14ac:dyDescent="0.25">
      <c r="A36" s="137">
        <v>43202</v>
      </c>
      <c r="B36" s="68" t="s">
        <v>10</v>
      </c>
      <c r="C36" s="69" t="s">
        <v>11</v>
      </c>
      <c r="D36" s="70">
        <v>462516</v>
      </c>
      <c r="E36" s="92">
        <v>25663</v>
      </c>
      <c r="F36" s="72">
        <v>25588</v>
      </c>
      <c r="G36" s="73">
        <v>169</v>
      </c>
      <c r="H36" s="74">
        <f t="shared" si="2"/>
        <v>-75</v>
      </c>
    </row>
    <row r="37" spans="1:8" x14ac:dyDescent="0.25">
      <c r="A37" s="137">
        <v>43202</v>
      </c>
      <c r="B37" s="68" t="s">
        <v>10</v>
      </c>
      <c r="C37" s="69" t="s">
        <v>11</v>
      </c>
      <c r="D37" s="70">
        <v>466092</v>
      </c>
      <c r="E37" s="92">
        <v>1500</v>
      </c>
      <c r="F37" s="72">
        <v>1472</v>
      </c>
      <c r="G37" s="73">
        <v>26</v>
      </c>
      <c r="H37" s="74">
        <f t="shared" si="2"/>
        <v>-28</v>
      </c>
    </row>
    <row r="38" spans="1:8" x14ac:dyDescent="0.25">
      <c r="A38" s="137">
        <v>43204</v>
      </c>
      <c r="B38" s="68" t="s">
        <v>12</v>
      </c>
      <c r="C38" s="69" t="s">
        <v>11</v>
      </c>
      <c r="D38" s="70">
        <v>468543</v>
      </c>
      <c r="E38" s="92">
        <v>6444</v>
      </c>
      <c r="F38" s="72">
        <v>6305</v>
      </c>
      <c r="G38" s="73">
        <v>55</v>
      </c>
      <c r="H38" s="74">
        <f t="shared" si="2"/>
        <v>-139</v>
      </c>
    </row>
    <row r="39" spans="1:8" x14ac:dyDescent="0.25">
      <c r="A39" s="137">
        <v>43204</v>
      </c>
      <c r="B39" s="68" t="s">
        <v>12</v>
      </c>
      <c r="C39" s="69" t="s">
        <v>11</v>
      </c>
      <c r="D39" s="70">
        <v>457309</v>
      </c>
      <c r="E39" s="92">
        <f>17548+4200</f>
        <v>21748</v>
      </c>
      <c r="F39" s="72">
        <f>16810+4186</f>
        <v>20996</v>
      </c>
      <c r="G39" s="73">
        <v>148</v>
      </c>
      <c r="H39" s="74">
        <f t="shared" si="2"/>
        <v>-752</v>
      </c>
    </row>
    <row r="40" spans="1:8" x14ac:dyDescent="0.25">
      <c r="A40" s="137">
        <v>43204</v>
      </c>
      <c r="B40" s="68" t="s">
        <v>12</v>
      </c>
      <c r="C40" s="69" t="s">
        <v>11</v>
      </c>
      <c r="D40" s="70">
        <v>470219</v>
      </c>
      <c r="E40" s="138">
        <v>2876</v>
      </c>
      <c r="F40" s="72">
        <v>2449</v>
      </c>
      <c r="G40" s="73">
        <v>26</v>
      </c>
      <c r="H40" s="74">
        <f t="shared" si="2"/>
        <v>-427</v>
      </c>
    </row>
    <row r="41" spans="1:8" x14ac:dyDescent="0.25">
      <c r="A41" s="137">
        <v>43194</v>
      </c>
      <c r="B41" s="68" t="s">
        <v>13</v>
      </c>
      <c r="C41" s="69" t="s">
        <v>4</v>
      </c>
      <c r="D41" s="70" t="s">
        <v>207</v>
      </c>
      <c r="E41" s="92">
        <v>3405</v>
      </c>
      <c r="F41" s="72">
        <v>3399</v>
      </c>
      <c r="G41" s="73">
        <v>74</v>
      </c>
      <c r="H41" s="74">
        <f t="shared" si="2"/>
        <v>-6</v>
      </c>
    </row>
    <row r="42" spans="1:8" x14ac:dyDescent="0.25">
      <c r="A42" s="137">
        <v>43195</v>
      </c>
      <c r="B42" s="68" t="s">
        <v>14</v>
      </c>
      <c r="C42" s="69" t="s">
        <v>109</v>
      </c>
      <c r="D42" s="70">
        <v>182013374</v>
      </c>
      <c r="E42" s="92">
        <v>7600</v>
      </c>
      <c r="F42" s="72">
        <v>7364</v>
      </c>
      <c r="G42" s="73">
        <v>85</v>
      </c>
      <c r="H42" s="74">
        <f t="shared" si="2"/>
        <v>-236</v>
      </c>
    </row>
    <row r="43" spans="1:8" ht="15.75" thickBot="1" x14ac:dyDescent="0.3">
      <c r="A43" s="149">
        <v>43199</v>
      </c>
      <c r="B43" s="140" t="s">
        <v>14</v>
      </c>
      <c r="C43" s="114" t="s">
        <v>109</v>
      </c>
      <c r="D43" s="108">
        <v>182034338</v>
      </c>
      <c r="E43" s="138">
        <v>400</v>
      </c>
      <c r="F43" s="141">
        <v>370</v>
      </c>
      <c r="G43" s="109">
        <v>19</v>
      </c>
      <c r="H43" s="93">
        <f t="shared" si="2"/>
        <v>-30</v>
      </c>
    </row>
    <row r="44" spans="1:8" ht="15.75" thickTop="1" x14ac:dyDescent="0.25">
      <c r="A44" s="142">
        <v>43225</v>
      </c>
      <c r="B44" s="143" t="s">
        <v>13</v>
      </c>
      <c r="C44" s="144" t="s">
        <v>2</v>
      </c>
      <c r="D44" s="80" t="s">
        <v>213</v>
      </c>
      <c r="E44" s="145">
        <v>5727</v>
      </c>
      <c r="F44" s="146">
        <v>5634</v>
      </c>
      <c r="G44" s="147">
        <v>542</v>
      </c>
      <c r="H44" s="148">
        <f t="shared" si="2"/>
        <v>-93</v>
      </c>
    </row>
    <row r="45" spans="1:8" x14ac:dyDescent="0.25">
      <c r="A45" s="137">
        <v>43225</v>
      </c>
      <c r="B45" s="68" t="s">
        <v>13</v>
      </c>
      <c r="C45" s="69" t="s">
        <v>2</v>
      </c>
      <c r="D45" s="70" t="s">
        <v>220</v>
      </c>
      <c r="E45" s="92">
        <v>6285</v>
      </c>
      <c r="F45" s="72">
        <v>6261</v>
      </c>
      <c r="G45" s="73">
        <v>588</v>
      </c>
      <c r="H45" s="74">
        <f t="shared" si="2"/>
        <v>-24</v>
      </c>
    </row>
    <row r="46" spans="1:8" x14ac:dyDescent="0.25">
      <c r="A46" s="137">
        <v>43225</v>
      </c>
      <c r="B46" s="68" t="s">
        <v>13</v>
      </c>
      <c r="C46" s="69" t="s">
        <v>2</v>
      </c>
      <c r="D46" s="70" t="s">
        <v>219</v>
      </c>
      <c r="E46" s="92">
        <v>4110</v>
      </c>
      <c r="F46" s="72">
        <v>3984</v>
      </c>
      <c r="G46" s="73">
        <v>391</v>
      </c>
      <c r="H46" s="74">
        <f t="shared" si="2"/>
        <v>-126</v>
      </c>
    </row>
    <row r="47" spans="1:8" x14ac:dyDescent="0.25">
      <c r="A47" s="137">
        <v>43237</v>
      </c>
      <c r="B47" s="68" t="s">
        <v>10</v>
      </c>
      <c r="C47" s="69" t="s">
        <v>11</v>
      </c>
      <c r="D47" s="70">
        <v>469041</v>
      </c>
      <c r="E47" s="92">
        <v>6917</v>
      </c>
      <c r="F47" s="72">
        <v>6089</v>
      </c>
      <c r="G47" s="73">
        <v>74</v>
      </c>
      <c r="H47" s="74">
        <f t="shared" si="2"/>
        <v>-828</v>
      </c>
    </row>
    <row r="48" spans="1:8" x14ac:dyDescent="0.25">
      <c r="A48" s="137">
        <v>43237</v>
      </c>
      <c r="B48" s="68" t="s">
        <v>10</v>
      </c>
      <c r="C48" s="69" t="s">
        <v>11</v>
      </c>
      <c r="D48" s="70">
        <v>465985</v>
      </c>
      <c r="E48" s="138">
        <v>8519</v>
      </c>
      <c r="F48" s="72">
        <v>7844</v>
      </c>
      <c r="G48" s="73">
        <v>135</v>
      </c>
      <c r="H48" s="74">
        <f t="shared" si="2"/>
        <v>-675</v>
      </c>
    </row>
    <row r="49" spans="1:8" x14ac:dyDescent="0.25">
      <c r="A49" s="137">
        <v>43243</v>
      </c>
      <c r="B49" s="68" t="s">
        <v>10</v>
      </c>
      <c r="C49" s="69" t="s">
        <v>11</v>
      </c>
      <c r="D49" s="70">
        <v>471157</v>
      </c>
      <c r="E49" s="92">
        <v>1553</v>
      </c>
      <c r="F49" s="72">
        <v>1499</v>
      </c>
      <c r="G49" s="73">
        <v>18</v>
      </c>
      <c r="H49" s="74">
        <f t="shared" si="2"/>
        <v>-54</v>
      </c>
    </row>
    <row r="50" spans="1:8" x14ac:dyDescent="0.25">
      <c r="A50" s="137">
        <v>43244</v>
      </c>
      <c r="B50" s="68" t="s">
        <v>10</v>
      </c>
      <c r="C50" s="69" t="s">
        <v>11</v>
      </c>
      <c r="D50" s="70">
        <v>474816</v>
      </c>
      <c r="E50" s="138">
        <v>7300</v>
      </c>
      <c r="F50" s="72">
        <v>7050</v>
      </c>
      <c r="G50" s="73">
        <v>27</v>
      </c>
      <c r="H50" s="74">
        <f t="shared" si="2"/>
        <v>-250</v>
      </c>
    </row>
    <row r="51" spans="1:8" x14ac:dyDescent="0.25">
      <c r="A51" s="137">
        <v>43244</v>
      </c>
      <c r="B51" s="68" t="s">
        <v>10</v>
      </c>
      <c r="C51" s="69" t="s">
        <v>11</v>
      </c>
      <c r="D51" s="70">
        <v>469493</v>
      </c>
      <c r="E51" s="92">
        <v>3700</v>
      </c>
      <c r="F51" s="72">
        <v>3569</v>
      </c>
      <c r="G51" s="73">
        <v>45</v>
      </c>
      <c r="H51" s="74">
        <f t="shared" si="2"/>
        <v>-131</v>
      </c>
    </row>
    <row r="52" spans="1:8" x14ac:dyDescent="0.25">
      <c r="A52" s="137">
        <v>43244</v>
      </c>
      <c r="B52" s="68" t="s">
        <v>10</v>
      </c>
      <c r="C52" s="69" t="s">
        <v>11</v>
      </c>
      <c r="D52" s="70">
        <v>475746</v>
      </c>
      <c r="E52" s="138">
        <v>2563</v>
      </c>
      <c r="F52" s="72">
        <v>2561</v>
      </c>
      <c r="G52" s="73">
        <v>18</v>
      </c>
      <c r="H52" s="74">
        <f t="shared" si="2"/>
        <v>-2</v>
      </c>
    </row>
    <row r="53" spans="1:8" x14ac:dyDescent="0.25">
      <c r="A53" s="137">
        <v>43244</v>
      </c>
      <c r="B53" s="68" t="s">
        <v>10</v>
      </c>
      <c r="C53" s="69" t="s">
        <v>11</v>
      </c>
      <c r="D53" s="70">
        <v>471140</v>
      </c>
      <c r="E53" s="92">
        <v>2574</v>
      </c>
      <c r="F53" s="72">
        <v>2546</v>
      </c>
      <c r="G53" s="73">
        <v>51</v>
      </c>
      <c r="H53" s="74">
        <f t="shared" si="2"/>
        <v>-28</v>
      </c>
    </row>
    <row r="54" spans="1:8" x14ac:dyDescent="0.25">
      <c r="A54" s="137">
        <v>43244</v>
      </c>
      <c r="B54" s="68" t="s">
        <v>10</v>
      </c>
      <c r="C54" s="69" t="s">
        <v>11</v>
      </c>
      <c r="D54" s="70">
        <v>466798</v>
      </c>
      <c r="E54" s="92">
        <v>4350</v>
      </c>
      <c r="F54" s="72">
        <v>4093</v>
      </c>
      <c r="G54" s="73">
        <v>50</v>
      </c>
      <c r="H54" s="74">
        <f t="shared" si="2"/>
        <v>-257</v>
      </c>
    </row>
    <row r="55" spans="1:8" x14ac:dyDescent="0.25">
      <c r="A55" s="137">
        <v>43248</v>
      </c>
      <c r="B55" s="68" t="s">
        <v>12</v>
      </c>
      <c r="C55" s="69" t="s">
        <v>11</v>
      </c>
      <c r="D55" s="70">
        <v>469040</v>
      </c>
      <c r="E55" s="92">
        <v>432</v>
      </c>
      <c r="F55" s="72">
        <v>415</v>
      </c>
      <c r="G55" s="73">
        <v>9</v>
      </c>
      <c r="H55" s="74">
        <f t="shared" si="2"/>
        <v>-17</v>
      </c>
    </row>
    <row r="56" spans="1:8" x14ac:dyDescent="0.25">
      <c r="A56" s="137">
        <v>43248</v>
      </c>
      <c r="B56" s="68" t="s">
        <v>14</v>
      </c>
      <c r="C56" s="69" t="s">
        <v>11</v>
      </c>
      <c r="D56" s="70">
        <v>464618</v>
      </c>
      <c r="E56" s="92">
        <v>5892</v>
      </c>
      <c r="F56" s="72">
        <v>5700</v>
      </c>
      <c r="G56" s="73">
        <v>100</v>
      </c>
      <c r="H56" s="74">
        <f t="shared" si="2"/>
        <v>-192</v>
      </c>
    </row>
    <row r="57" spans="1:8" x14ac:dyDescent="0.25">
      <c r="A57" s="137">
        <v>43251</v>
      </c>
      <c r="B57" s="68" t="s">
        <v>10</v>
      </c>
      <c r="C57" s="69" t="s">
        <v>11</v>
      </c>
      <c r="D57" s="70">
        <v>464202</v>
      </c>
      <c r="E57" s="92">
        <v>1600</v>
      </c>
      <c r="F57" s="72">
        <v>1538</v>
      </c>
      <c r="G57" s="73">
        <v>53</v>
      </c>
      <c r="H57" s="74">
        <f t="shared" si="2"/>
        <v>-62</v>
      </c>
    </row>
    <row r="58" spans="1:8" x14ac:dyDescent="0.25">
      <c r="A58" s="137">
        <v>43250</v>
      </c>
      <c r="B58" s="68" t="s">
        <v>14</v>
      </c>
      <c r="C58" s="69" t="s">
        <v>226</v>
      </c>
      <c r="D58" s="70">
        <v>100034888</v>
      </c>
      <c r="E58" s="92">
        <v>2138</v>
      </c>
      <c r="F58" s="72">
        <v>2048</v>
      </c>
      <c r="G58" s="73">
        <v>190</v>
      </c>
      <c r="H58" s="74">
        <f t="shared" si="2"/>
        <v>-90</v>
      </c>
    </row>
    <row r="59" spans="1:8" x14ac:dyDescent="0.25">
      <c r="A59" s="137">
        <v>43248</v>
      </c>
      <c r="B59" s="68" t="s">
        <v>211</v>
      </c>
      <c r="C59" s="69" t="s">
        <v>109</v>
      </c>
      <c r="D59" s="70">
        <v>183034522</v>
      </c>
      <c r="E59" s="92">
        <v>3484</v>
      </c>
      <c r="F59" s="72">
        <v>3364</v>
      </c>
      <c r="G59" s="73">
        <v>151</v>
      </c>
      <c r="H59" s="74">
        <f t="shared" si="2"/>
        <v>-120</v>
      </c>
    </row>
    <row r="60" spans="1:8" x14ac:dyDescent="0.25">
      <c r="A60" s="137">
        <v>43250</v>
      </c>
      <c r="B60" s="68" t="s">
        <v>14</v>
      </c>
      <c r="C60" s="69" t="s">
        <v>109</v>
      </c>
      <c r="D60" s="70">
        <v>174034865</v>
      </c>
      <c r="E60" s="92">
        <v>8500</v>
      </c>
      <c r="F60" s="72">
        <v>8020</v>
      </c>
      <c r="G60" s="73">
        <v>166</v>
      </c>
      <c r="H60" s="74">
        <f t="shared" si="2"/>
        <v>-480</v>
      </c>
    </row>
  </sheetData>
  <autoFilter ref="A2:H2" xr:uid="{00000000-0009-0000-0000-00000F000000}"/>
  <sortState ref="A2:I11">
    <sortCondition ref="D2:D11"/>
  </sortState>
  <mergeCells count="1">
    <mergeCell ref="A1:H1"/>
  </mergeCells>
  <printOptions horizontalCentered="1" verticalCentered="1"/>
  <pageMargins left="0" right="0" top="0" bottom="0" header="0" footer="0"/>
  <pageSetup paperSize="9" scale="98" orientation="landscape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39997558519241921"/>
  </sheetPr>
  <dimension ref="A1:H62"/>
  <sheetViews>
    <sheetView topLeftCell="A43" workbookViewId="0">
      <selection activeCell="J61" sqref="J61"/>
    </sheetView>
  </sheetViews>
  <sheetFormatPr defaultColWidth="14.140625" defaultRowHeight="15" x14ac:dyDescent="0.25"/>
  <cols>
    <col min="1" max="1" width="19.42578125" style="115" customWidth="1"/>
    <col min="2" max="2" width="20.85546875" style="115" customWidth="1"/>
    <col min="3" max="4" width="19.42578125" style="115" customWidth="1"/>
    <col min="5" max="8" width="12.85546875" style="115" customWidth="1"/>
    <col min="9" max="16384" width="14.140625" style="115"/>
  </cols>
  <sheetData>
    <row r="1" spans="1:8" x14ac:dyDescent="0.25">
      <c r="A1" s="163" t="s">
        <v>193</v>
      </c>
      <c r="B1" s="163"/>
      <c r="C1" s="163"/>
      <c r="D1" s="163"/>
      <c r="E1" s="163"/>
      <c r="F1" s="163"/>
      <c r="G1" s="163"/>
      <c r="H1" s="163"/>
    </row>
    <row r="2" spans="1:8" ht="30" x14ac:dyDescent="0.25">
      <c r="A2" s="53" t="s">
        <v>123</v>
      </c>
      <c r="B2" s="53" t="s">
        <v>0</v>
      </c>
      <c r="C2" s="53" t="s">
        <v>124</v>
      </c>
      <c r="D2" s="53" t="s">
        <v>61</v>
      </c>
      <c r="E2" s="53" t="s">
        <v>125</v>
      </c>
      <c r="F2" s="72" t="s">
        <v>126</v>
      </c>
      <c r="G2" s="53" t="s">
        <v>165</v>
      </c>
      <c r="H2" s="53" t="s">
        <v>1</v>
      </c>
    </row>
    <row r="3" spans="1:8" s="97" customFormat="1" x14ac:dyDescent="0.25">
      <c r="A3" s="51">
        <v>43103</v>
      </c>
      <c r="B3" s="52" t="s">
        <v>10</v>
      </c>
      <c r="C3" s="53" t="s">
        <v>11</v>
      </c>
      <c r="D3" s="70">
        <v>451311</v>
      </c>
      <c r="E3" s="98">
        <v>16316</v>
      </c>
      <c r="F3" s="56">
        <v>16507</v>
      </c>
      <c r="G3" s="73">
        <v>201</v>
      </c>
      <c r="H3" s="93">
        <f t="shared" ref="H3:H37" si="0">+F3-E3</f>
        <v>191</v>
      </c>
    </row>
    <row r="4" spans="1:8" s="97" customFormat="1" x14ac:dyDescent="0.25">
      <c r="A4" s="51">
        <v>43125</v>
      </c>
      <c r="B4" s="52" t="s">
        <v>10</v>
      </c>
      <c r="C4" s="53" t="s">
        <v>11</v>
      </c>
      <c r="D4" s="70">
        <v>452546</v>
      </c>
      <c r="E4" s="71">
        <v>6940</v>
      </c>
      <c r="F4" s="56">
        <v>7038</v>
      </c>
      <c r="G4" s="73">
        <v>128</v>
      </c>
      <c r="H4" s="93">
        <f t="shared" si="0"/>
        <v>98</v>
      </c>
    </row>
    <row r="5" spans="1:8" s="97" customFormat="1" x14ac:dyDescent="0.25">
      <c r="A5" s="51">
        <v>43118</v>
      </c>
      <c r="B5" s="52" t="s">
        <v>10</v>
      </c>
      <c r="C5" s="53" t="s">
        <v>11</v>
      </c>
      <c r="D5" s="70">
        <v>453616</v>
      </c>
      <c r="E5" s="71">
        <v>9200</v>
      </c>
      <c r="F5" s="56">
        <v>9238</v>
      </c>
      <c r="G5" s="73">
        <v>60</v>
      </c>
      <c r="H5" s="93">
        <f t="shared" si="0"/>
        <v>38</v>
      </c>
    </row>
    <row r="6" spans="1:8" s="97" customFormat="1" x14ac:dyDescent="0.25">
      <c r="A6" s="51">
        <v>43103</v>
      </c>
      <c r="B6" s="52" t="s">
        <v>10</v>
      </c>
      <c r="C6" s="53" t="s">
        <v>11</v>
      </c>
      <c r="D6" s="70">
        <v>453707</v>
      </c>
      <c r="E6" s="71">
        <v>7342</v>
      </c>
      <c r="F6" s="56">
        <v>7386</v>
      </c>
      <c r="G6" s="73">
        <v>134</v>
      </c>
      <c r="H6" s="93">
        <f t="shared" si="0"/>
        <v>44</v>
      </c>
    </row>
    <row r="7" spans="1:8" s="97" customFormat="1" x14ac:dyDescent="0.25">
      <c r="A7" s="51">
        <v>43111</v>
      </c>
      <c r="B7" s="52" t="s">
        <v>10</v>
      </c>
      <c r="C7" s="53" t="s">
        <v>11</v>
      </c>
      <c r="D7" s="70">
        <v>454208</v>
      </c>
      <c r="E7" s="71">
        <v>28703</v>
      </c>
      <c r="F7" s="56">
        <v>28824</v>
      </c>
      <c r="G7" s="73">
        <v>234</v>
      </c>
      <c r="H7" s="93">
        <f t="shared" si="0"/>
        <v>121</v>
      </c>
    </row>
    <row r="8" spans="1:8" s="97" customFormat="1" x14ac:dyDescent="0.25">
      <c r="A8" s="51">
        <v>43118</v>
      </c>
      <c r="B8" s="52" t="s">
        <v>10</v>
      </c>
      <c r="C8" s="53" t="s">
        <v>11</v>
      </c>
      <c r="D8" s="70">
        <v>455769</v>
      </c>
      <c r="E8" s="71">
        <v>4600</v>
      </c>
      <c r="F8" s="56">
        <v>4624</v>
      </c>
      <c r="G8" s="73">
        <v>30</v>
      </c>
      <c r="H8" s="93">
        <f t="shared" si="0"/>
        <v>24</v>
      </c>
    </row>
    <row r="9" spans="1:8" s="97" customFormat="1" x14ac:dyDescent="0.25">
      <c r="A9" s="51">
        <v>43118</v>
      </c>
      <c r="B9" s="52" t="s">
        <v>10</v>
      </c>
      <c r="C9" s="53" t="s">
        <v>11</v>
      </c>
      <c r="D9" s="70">
        <v>455770</v>
      </c>
      <c r="E9" s="71">
        <v>4600</v>
      </c>
      <c r="F9" s="56">
        <v>4650</v>
      </c>
      <c r="G9" s="73">
        <v>30</v>
      </c>
      <c r="H9" s="93">
        <f t="shared" si="0"/>
        <v>50</v>
      </c>
    </row>
    <row r="10" spans="1:8" s="97" customFormat="1" x14ac:dyDescent="0.25">
      <c r="A10" s="51">
        <v>43118</v>
      </c>
      <c r="B10" s="52" t="s">
        <v>10</v>
      </c>
      <c r="C10" s="53" t="s">
        <v>11</v>
      </c>
      <c r="D10" s="70">
        <v>459065</v>
      </c>
      <c r="E10" s="71">
        <v>3700</v>
      </c>
      <c r="F10" s="56">
        <v>3724</v>
      </c>
      <c r="G10" s="73">
        <v>28</v>
      </c>
      <c r="H10" s="93">
        <f t="shared" si="0"/>
        <v>24</v>
      </c>
    </row>
    <row r="11" spans="1:8" s="97" customFormat="1" x14ac:dyDescent="0.25">
      <c r="A11" s="51">
        <v>43125</v>
      </c>
      <c r="B11" s="52" t="s">
        <v>10</v>
      </c>
      <c r="C11" s="53" t="s">
        <v>11</v>
      </c>
      <c r="D11" s="70">
        <v>460231</v>
      </c>
      <c r="E11" s="98">
        <v>850</v>
      </c>
      <c r="F11" s="56">
        <v>866</v>
      </c>
      <c r="G11" s="73">
        <v>27</v>
      </c>
      <c r="H11" s="93">
        <f t="shared" si="0"/>
        <v>16</v>
      </c>
    </row>
    <row r="12" spans="1:8" s="97" customFormat="1" x14ac:dyDescent="0.25">
      <c r="A12" s="51">
        <v>43129</v>
      </c>
      <c r="B12" s="52" t="s">
        <v>12</v>
      </c>
      <c r="C12" s="53" t="s">
        <v>11</v>
      </c>
      <c r="D12" s="70">
        <v>463936</v>
      </c>
      <c r="E12" s="71">
        <v>14200</v>
      </c>
      <c r="F12" s="56">
        <v>14266</v>
      </c>
      <c r="G12" s="73">
        <v>70</v>
      </c>
      <c r="H12" s="93">
        <f t="shared" si="0"/>
        <v>66</v>
      </c>
    </row>
    <row r="13" spans="1:8" s="97" customFormat="1" x14ac:dyDescent="0.25">
      <c r="A13" s="51">
        <v>43123</v>
      </c>
      <c r="B13" s="52" t="s">
        <v>13</v>
      </c>
      <c r="C13" s="53" t="s">
        <v>2</v>
      </c>
      <c r="D13" s="70" t="s">
        <v>113</v>
      </c>
      <c r="E13" s="71">
        <v>5559</v>
      </c>
      <c r="F13" s="56">
        <v>5613</v>
      </c>
      <c r="G13" s="73">
        <v>329</v>
      </c>
      <c r="H13" s="93">
        <f t="shared" si="0"/>
        <v>54</v>
      </c>
    </row>
    <row r="14" spans="1:8" s="97" customFormat="1" x14ac:dyDescent="0.25">
      <c r="A14" s="51">
        <v>43131</v>
      </c>
      <c r="B14" s="52" t="s">
        <v>13</v>
      </c>
      <c r="C14" s="53" t="s">
        <v>2</v>
      </c>
      <c r="D14" s="70" t="s">
        <v>122</v>
      </c>
      <c r="E14" s="71">
        <v>2562</v>
      </c>
      <c r="F14" s="56">
        <v>2586</v>
      </c>
      <c r="G14" s="73">
        <v>239</v>
      </c>
      <c r="H14" s="93">
        <f t="shared" si="0"/>
        <v>24</v>
      </c>
    </row>
    <row r="15" spans="1:8" s="97" customFormat="1" x14ac:dyDescent="0.25">
      <c r="A15" s="51">
        <v>43131</v>
      </c>
      <c r="B15" s="52" t="s">
        <v>13</v>
      </c>
      <c r="C15" s="53" t="s">
        <v>2</v>
      </c>
      <c r="D15" s="70" t="s">
        <v>117</v>
      </c>
      <c r="E15" s="71">
        <v>4959</v>
      </c>
      <c r="F15" s="56">
        <v>5007</v>
      </c>
      <c r="G15" s="73">
        <v>523</v>
      </c>
      <c r="H15" s="93">
        <f t="shared" si="0"/>
        <v>48</v>
      </c>
    </row>
    <row r="16" spans="1:8" s="97" customFormat="1" x14ac:dyDescent="0.25">
      <c r="A16" s="51">
        <v>43123</v>
      </c>
      <c r="B16" s="52" t="s">
        <v>13</v>
      </c>
      <c r="C16" s="53" t="s">
        <v>2</v>
      </c>
      <c r="D16" s="70" t="s">
        <v>112</v>
      </c>
      <c r="E16" s="71">
        <v>7909</v>
      </c>
      <c r="F16" s="56">
        <v>7978</v>
      </c>
      <c r="G16" s="73">
        <v>423</v>
      </c>
      <c r="H16" s="93">
        <f t="shared" si="0"/>
        <v>69</v>
      </c>
    </row>
    <row r="17" spans="1:8" s="97" customFormat="1" x14ac:dyDescent="0.25">
      <c r="A17" s="51">
        <v>43123</v>
      </c>
      <c r="B17" s="52" t="s">
        <v>13</v>
      </c>
      <c r="C17" s="53" t="s">
        <v>2</v>
      </c>
      <c r="D17" s="70" t="s">
        <v>111</v>
      </c>
      <c r="E17" s="71">
        <v>4511</v>
      </c>
      <c r="F17" s="56">
        <v>4529</v>
      </c>
      <c r="G17" s="73">
        <v>451</v>
      </c>
      <c r="H17" s="93">
        <f t="shared" si="0"/>
        <v>18</v>
      </c>
    </row>
    <row r="18" spans="1:8" s="97" customFormat="1" x14ac:dyDescent="0.25">
      <c r="A18" s="51">
        <v>43103</v>
      </c>
      <c r="B18" s="52" t="s">
        <v>15</v>
      </c>
      <c r="C18" s="53" t="s">
        <v>4</v>
      </c>
      <c r="D18" s="70" t="s">
        <v>5</v>
      </c>
      <c r="E18" s="71">
        <v>9880</v>
      </c>
      <c r="F18" s="56">
        <v>9978</v>
      </c>
      <c r="G18" s="73">
        <f>41+34+7+5</f>
        <v>87</v>
      </c>
      <c r="H18" s="93">
        <f t="shared" si="0"/>
        <v>98</v>
      </c>
    </row>
    <row r="19" spans="1:8" s="97" customFormat="1" x14ac:dyDescent="0.25">
      <c r="A19" s="51">
        <v>43131</v>
      </c>
      <c r="B19" s="52" t="s">
        <v>12</v>
      </c>
      <c r="C19" s="53" t="s">
        <v>4</v>
      </c>
      <c r="D19" s="70" t="s">
        <v>6</v>
      </c>
      <c r="E19" s="71">
        <v>11750</v>
      </c>
      <c r="F19" s="56">
        <v>11838</v>
      </c>
      <c r="G19" s="73">
        <v>217</v>
      </c>
      <c r="H19" s="93">
        <f t="shared" si="0"/>
        <v>88</v>
      </c>
    </row>
    <row r="20" spans="1:8" s="97" customFormat="1" x14ac:dyDescent="0.25">
      <c r="A20" s="51">
        <v>43103</v>
      </c>
      <c r="B20" s="52" t="s">
        <v>15</v>
      </c>
      <c r="C20" s="53" t="s">
        <v>4</v>
      </c>
      <c r="D20" s="70" t="s">
        <v>16</v>
      </c>
      <c r="E20" s="71">
        <v>2713</v>
      </c>
      <c r="F20" s="56">
        <v>2740</v>
      </c>
      <c r="G20" s="73">
        <f>27+10+7</f>
        <v>44</v>
      </c>
      <c r="H20" s="93">
        <f t="shared" si="0"/>
        <v>27</v>
      </c>
    </row>
    <row r="21" spans="1:8" s="97" customFormat="1" x14ac:dyDescent="0.25">
      <c r="A21" s="51">
        <v>43131</v>
      </c>
      <c r="B21" s="52" t="s">
        <v>12</v>
      </c>
      <c r="C21" s="53" t="s">
        <v>4</v>
      </c>
      <c r="D21" s="70" t="s">
        <v>119</v>
      </c>
      <c r="E21" s="71">
        <v>1579</v>
      </c>
      <c r="F21" s="56">
        <v>1590</v>
      </c>
      <c r="G21" s="73">
        <v>32</v>
      </c>
      <c r="H21" s="93">
        <f t="shared" si="0"/>
        <v>11</v>
      </c>
    </row>
    <row r="22" spans="1:8" s="97" customFormat="1" x14ac:dyDescent="0.25">
      <c r="A22" s="51">
        <v>43103</v>
      </c>
      <c r="B22" s="52" t="s">
        <v>15</v>
      </c>
      <c r="C22" s="53" t="s">
        <v>4</v>
      </c>
      <c r="D22" s="70" t="s">
        <v>18</v>
      </c>
      <c r="E22" s="71">
        <v>7731</v>
      </c>
      <c r="F22" s="56">
        <v>7932</v>
      </c>
      <c r="G22" s="73">
        <f>25+10+12</f>
        <v>47</v>
      </c>
      <c r="H22" s="93">
        <f t="shared" si="0"/>
        <v>201</v>
      </c>
    </row>
    <row r="23" spans="1:8" s="97" customFormat="1" ht="15.75" thickBot="1" x14ac:dyDescent="0.3">
      <c r="A23" s="116">
        <v>43116</v>
      </c>
      <c r="B23" s="117" t="s">
        <v>12</v>
      </c>
      <c r="C23" s="118" t="s">
        <v>23</v>
      </c>
      <c r="D23" s="110" t="s">
        <v>24</v>
      </c>
      <c r="E23" s="111">
        <v>265</v>
      </c>
      <c r="F23" s="119">
        <v>267</v>
      </c>
      <c r="G23" s="112">
        <v>6</v>
      </c>
      <c r="H23" s="113">
        <f t="shared" si="0"/>
        <v>2</v>
      </c>
    </row>
    <row r="24" spans="1:8" s="97" customFormat="1" ht="15.75" thickTop="1" x14ac:dyDescent="0.25">
      <c r="A24" s="60">
        <v>43132</v>
      </c>
      <c r="B24" s="61" t="s">
        <v>10</v>
      </c>
      <c r="C24" s="103" t="s">
        <v>11</v>
      </c>
      <c r="D24" s="104">
        <v>457802</v>
      </c>
      <c r="E24" s="105">
        <v>21680</v>
      </c>
      <c r="F24" s="62">
        <v>21861</v>
      </c>
      <c r="G24" s="106">
        <v>231</v>
      </c>
      <c r="H24" s="107">
        <f t="shared" si="0"/>
        <v>181</v>
      </c>
    </row>
    <row r="25" spans="1:8" s="97" customFormat="1" x14ac:dyDescent="0.25">
      <c r="A25" s="57">
        <v>43132</v>
      </c>
      <c r="B25" s="58" t="s">
        <v>10</v>
      </c>
      <c r="C25" s="69" t="s">
        <v>11</v>
      </c>
      <c r="D25" s="70">
        <v>460591</v>
      </c>
      <c r="E25" s="71">
        <v>6950</v>
      </c>
      <c r="F25" s="56">
        <v>7011</v>
      </c>
      <c r="G25" s="73">
        <v>72</v>
      </c>
      <c r="H25" s="74">
        <f t="shared" si="0"/>
        <v>61</v>
      </c>
    </row>
    <row r="26" spans="1:8" s="97" customFormat="1" x14ac:dyDescent="0.25">
      <c r="A26" s="57">
        <v>43132</v>
      </c>
      <c r="B26" s="58" t="s">
        <v>10</v>
      </c>
      <c r="C26" s="69" t="s">
        <v>11</v>
      </c>
      <c r="D26" s="70">
        <v>460586</v>
      </c>
      <c r="E26" s="71">
        <v>7370</v>
      </c>
      <c r="F26" s="56">
        <v>7388</v>
      </c>
      <c r="G26" s="73">
        <v>76</v>
      </c>
      <c r="H26" s="74">
        <f t="shared" si="0"/>
        <v>18</v>
      </c>
    </row>
    <row r="27" spans="1:8" s="97" customFormat="1" x14ac:dyDescent="0.25">
      <c r="A27" s="57">
        <v>43132</v>
      </c>
      <c r="B27" s="58" t="s">
        <v>10</v>
      </c>
      <c r="C27" s="69" t="s">
        <v>11</v>
      </c>
      <c r="D27" s="70">
        <v>473205</v>
      </c>
      <c r="E27" s="71">
        <v>8480</v>
      </c>
      <c r="F27" s="56">
        <v>8541</v>
      </c>
      <c r="G27" s="73">
        <v>91</v>
      </c>
      <c r="H27" s="74">
        <f t="shared" si="0"/>
        <v>61</v>
      </c>
    </row>
    <row r="28" spans="1:8" s="97" customFormat="1" x14ac:dyDescent="0.25">
      <c r="A28" s="57">
        <v>43132</v>
      </c>
      <c r="B28" s="58" t="s">
        <v>10</v>
      </c>
      <c r="C28" s="69" t="s">
        <v>11</v>
      </c>
      <c r="D28" s="70">
        <v>461609</v>
      </c>
      <c r="E28" s="71">
        <v>17680</v>
      </c>
      <c r="F28" s="56">
        <v>17777</v>
      </c>
      <c r="G28" s="73">
        <v>161</v>
      </c>
      <c r="H28" s="74">
        <f t="shared" si="0"/>
        <v>97</v>
      </c>
    </row>
    <row r="29" spans="1:8" s="97" customFormat="1" x14ac:dyDescent="0.25">
      <c r="A29" s="57">
        <v>43132</v>
      </c>
      <c r="B29" s="58" t="s">
        <v>10</v>
      </c>
      <c r="C29" s="69" t="s">
        <v>11</v>
      </c>
      <c r="D29" s="70">
        <v>460588</v>
      </c>
      <c r="E29" s="71">
        <v>6310</v>
      </c>
      <c r="F29" s="56">
        <v>6391</v>
      </c>
      <c r="G29" s="73">
        <v>68</v>
      </c>
      <c r="H29" s="74">
        <f t="shared" si="0"/>
        <v>81</v>
      </c>
    </row>
    <row r="30" spans="1:8" s="97" customFormat="1" x14ac:dyDescent="0.25">
      <c r="A30" s="57">
        <v>43132</v>
      </c>
      <c r="B30" s="58" t="s">
        <v>10</v>
      </c>
      <c r="C30" s="69" t="s">
        <v>11</v>
      </c>
      <c r="D30" s="70">
        <v>457814</v>
      </c>
      <c r="E30" s="71">
        <v>7850</v>
      </c>
      <c r="F30" s="56">
        <v>7913</v>
      </c>
      <c r="G30" s="73">
        <v>82</v>
      </c>
      <c r="H30" s="74">
        <f t="shared" si="0"/>
        <v>63</v>
      </c>
    </row>
    <row r="31" spans="1:8" s="97" customFormat="1" x14ac:dyDescent="0.25">
      <c r="A31" s="57">
        <v>43138</v>
      </c>
      <c r="B31" s="58" t="s">
        <v>10</v>
      </c>
      <c r="C31" s="69" t="s">
        <v>11</v>
      </c>
      <c r="D31" s="70">
        <v>465409</v>
      </c>
      <c r="E31" s="71">
        <v>2200</v>
      </c>
      <c r="F31" s="56">
        <v>2211</v>
      </c>
      <c r="G31" s="73">
        <v>47</v>
      </c>
      <c r="H31" s="74">
        <f t="shared" si="0"/>
        <v>11</v>
      </c>
    </row>
    <row r="32" spans="1:8" s="97" customFormat="1" x14ac:dyDescent="0.25">
      <c r="A32" s="57">
        <v>43138</v>
      </c>
      <c r="B32" s="58" t="s">
        <v>10</v>
      </c>
      <c r="C32" s="69" t="s">
        <v>11</v>
      </c>
      <c r="D32" s="70">
        <v>465778</v>
      </c>
      <c r="E32" s="98">
        <v>3200</v>
      </c>
      <c r="F32" s="56">
        <v>3246</v>
      </c>
      <c r="G32" s="73">
        <v>36</v>
      </c>
      <c r="H32" s="74">
        <f t="shared" si="0"/>
        <v>46</v>
      </c>
    </row>
    <row r="33" spans="1:8" s="97" customFormat="1" x14ac:dyDescent="0.25">
      <c r="A33" s="57">
        <v>43138</v>
      </c>
      <c r="B33" s="58" t="s">
        <v>10</v>
      </c>
      <c r="C33" s="69" t="s">
        <v>11</v>
      </c>
      <c r="D33" s="70">
        <v>465409</v>
      </c>
      <c r="E33" s="71">
        <v>6377</v>
      </c>
      <c r="F33" s="56">
        <v>6484</v>
      </c>
      <c r="G33" s="73">
        <v>130</v>
      </c>
      <c r="H33" s="74">
        <f t="shared" si="0"/>
        <v>107</v>
      </c>
    </row>
    <row r="34" spans="1:8" s="97" customFormat="1" x14ac:dyDescent="0.25">
      <c r="A34" s="57">
        <v>43141</v>
      </c>
      <c r="B34" s="58" t="s">
        <v>10</v>
      </c>
      <c r="C34" s="69" t="s">
        <v>11</v>
      </c>
      <c r="D34" s="70">
        <v>464818</v>
      </c>
      <c r="E34" s="71">
        <v>6935</v>
      </c>
      <c r="F34" s="56">
        <v>6977</v>
      </c>
      <c r="G34" s="73">
        <v>77</v>
      </c>
      <c r="H34" s="74">
        <f t="shared" si="0"/>
        <v>42</v>
      </c>
    </row>
    <row r="35" spans="1:8" s="97" customFormat="1" x14ac:dyDescent="0.25">
      <c r="A35" s="57">
        <v>43132</v>
      </c>
      <c r="B35" s="58" t="s">
        <v>13</v>
      </c>
      <c r="C35" s="69" t="s">
        <v>2</v>
      </c>
      <c r="D35" s="70">
        <v>100009162</v>
      </c>
      <c r="E35" s="71">
        <v>9915</v>
      </c>
      <c r="F35" s="56">
        <v>10014</v>
      </c>
      <c r="G35" s="73">
        <v>1030</v>
      </c>
      <c r="H35" s="74">
        <f t="shared" si="0"/>
        <v>99</v>
      </c>
    </row>
    <row r="36" spans="1:8" s="97" customFormat="1" x14ac:dyDescent="0.25">
      <c r="A36" s="57">
        <v>43132</v>
      </c>
      <c r="B36" s="58" t="s">
        <v>13</v>
      </c>
      <c r="C36" s="69" t="s">
        <v>2</v>
      </c>
      <c r="D36" s="70" t="s">
        <v>121</v>
      </c>
      <c r="E36" s="71">
        <v>3626</v>
      </c>
      <c r="F36" s="56">
        <v>3662</v>
      </c>
      <c r="G36" s="73">
        <v>357</v>
      </c>
      <c r="H36" s="74">
        <f t="shared" si="0"/>
        <v>36</v>
      </c>
    </row>
    <row r="37" spans="1:8" s="97" customFormat="1" x14ac:dyDescent="0.25">
      <c r="A37" s="57">
        <v>43134</v>
      </c>
      <c r="B37" s="58" t="s">
        <v>13</v>
      </c>
      <c r="C37" s="69" t="s">
        <v>2</v>
      </c>
      <c r="D37" s="70" t="s">
        <v>161</v>
      </c>
      <c r="E37" s="71">
        <v>252</v>
      </c>
      <c r="F37" s="56">
        <v>255</v>
      </c>
      <c r="G37" s="73">
        <v>22</v>
      </c>
      <c r="H37" s="74">
        <f t="shared" si="0"/>
        <v>3</v>
      </c>
    </row>
    <row r="38" spans="1:8" s="97" customFormat="1" ht="15.75" thickBot="1" x14ac:dyDescent="0.3">
      <c r="A38" s="75">
        <v>43138</v>
      </c>
      <c r="B38" s="76" t="s">
        <v>7</v>
      </c>
      <c r="C38" s="114" t="s">
        <v>3</v>
      </c>
      <c r="D38" s="108">
        <v>100007764</v>
      </c>
      <c r="E38" s="98">
        <v>4521</v>
      </c>
      <c r="F38" s="77">
        <v>4548</v>
      </c>
      <c r="G38" s="109">
        <v>405</v>
      </c>
      <c r="H38" s="93">
        <f t="shared" ref="H38" si="1">+F38-E38</f>
        <v>27</v>
      </c>
    </row>
    <row r="39" spans="1:8" s="97" customFormat="1" ht="15.75" thickTop="1" x14ac:dyDescent="0.25">
      <c r="A39" s="91">
        <v>43181</v>
      </c>
      <c r="B39" s="79" t="s">
        <v>10</v>
      </c>
      <c r="C39" s="78" t="s">
        <v>11</v>
      </c>
      <c r="D39" s="80">
        <v>461186</v>
      </c>
      <c r="E39" s="81">
        <v>3500</v>
      </c>
      <c r="F39" s="82">
        <v>3525</v>
      </c>
      <c r="G39" s="83">
        <v>80</v>
      </c>
      <c r="H39" s="84">
        <f t="shared" ref="H39:H52" si="2">+F39-E39</f>
        <v>25</v>
      </c>
    </row>
    <row r="40" spans="1:8" s="97" customFormat="1" x14ac:dyDescent="0.25">
      <c r="A40" s="67">
        <v>43181</v>
      </c>
      <c r="B40" s="86" t="s">
        <v>10</v>
      </c>
      <c r="C40" s="85" t="s">
        <v>11</v>
      </c>
      <c r="D40" s="70">
        <v>463029</v>
      </c>
      <c r="E40" s="87">
        <v>4050</v>
      </c>
      <c r="F40" s="88">
        <v>4119</v>
      </c>
      <c r="G40" s="89">
        <v>70</v>
      </c>
      <c r="H40" s="90">
        <f t="shared" si="2"/>
        <v>69</v>
      </c>
    </row>
    <row r="41" spans="1:8" s="97" customFormat="1" x14ac:dyDescent="0.25">
      <c r="A41" s="67">
        <v>43181</v>
      </c>
      <c r="B41" s="68" t="s">
        <v>10</v>
      </c>
      <c r="C41" s="69" t="s">
        <v>11</v>
      </c>
      <c r="D41" s="70">
        <v>463030</v>
      </c>
      <c r="E41" s="71">
        <v>3500</v>
      </c>
      <c r="F41" s="72">
        <v>3521</v>
      </c>
      <c r="G41" s="73">
        <v>67</v>
      </c>
      <c r="H41" s="74">
        <f t="shared" si="2"/>
        <v>21</v>
      </c>
    </row>
    <row r="42" spans="1:8" s="97" customFormat="1" x14ac:dyDescent="0.25">
      <c r="A42" s="67">
        <v>43188</v>
      </c>
      <c r="B42" s="68" t="s">
        <v>12</v>
      </c>
      <c r="C42" s="69" t="s">
        <v>11</v>
      </c>
      <c r="D42" s="70">
        <v>464888</v>
      </c>
      <c r="E42" s="71">
        <v>2030</v>
      </c>
      <c r="F42" s="72">
        <v>2072</v>
      </c>
      <c r="G42" s="73">
        <v>35</v>
      </c>
      <c r="H42" s="74">
        <f t="shared" si="2"/>
        <v>42</v>
      </c>
    </row>
    <row r="43" spans="1:8" s="97" customFormat="1" x14ac:dyDescent="0.25">
      <c r="A43" s="67">
        <v>43167</v>
      </c>
      <c r="B43" s="68" t="s">
        <v>10</v>
      </c>
      <c r="C43" s="69" t="s">
        <v>11</v>
      </c>
      <c r="D43" s="70">
        <v>465184</v>
      </c>
      <c r="E43" s="71">
        <v>7365</v>
      </c>
      <c r="F43" s="72">
        <v>7403</v>
      </c>
      <c r="G43" s="73">
        <v>149</v>
      </c>
      <c r="H43" s="74">
        <f t="shared" si="2"/>
        <v>38</v>
      </c>
    </row>
    <row r="44" spans="1:8" s="97" customFormat="1" x14ac:dyDescent="0.25">
      <c r="A44" s="67">
        <v>43167</v>
      </c>
      <c r="B44" s="68" t="s">
        <v>10</v>
      </c>
      <c r="C44" s="69" t="s">
        <v>11</v>
      </c>
      <c r="D44" s="70">
        <v>465184</v>
      </c>
      <c r="E44" s="71">
        <v>1000</v>
      </c>
      <c r="F44" s="72">
        <v>1015</v>
      </c>
      <c r="G44" s="73">
        <v>32</v>
      </c>
      <c r="H44" s="74">
        <f t="shared" si="2"/>
        <v>15</v>
      </c>
    </row>
    <row r="45" spans="1:8" s="97" customFormat="1" x14ac:dyDescent="0.25">
      <c r="A45" s="67">
        <v>43174</v>
      </c>
      <c r="B45" s="68" t="s">
        <v>10</v>
      </c>
      <c r="C45" s="69" t="s">
        <v>11</v>
      </c>
      <c r="D45" s="70">
        <v>467914</v>
      </c>
      <c r="E45" s="71">
        <v>3085</v>
      </c>
      <c r="F45" s="72">
        <v>3149</v>
      </c>
      <c r="G45" s="73">
        <v>56</v>
      </c>
      <c r="H45" s="74">
        <f t="shared" si="2"/>
        <v>64</v>
      </c>
    </row>
    <row r="46" spans="1:8" s="97" customFormat="1" x14ac:dyDescent="0.25">
      <c r="A46" s="67">
        <v>43180</v>
      </c>
      <c r="B46" s="68" t="s">
        <v>10</v>
      </c>
      <c r="C46" s="69" t="s">
        <v>11</v>
      </c>
      <c r="D46" s="70">
        <v>468230</v>
      </c>
      <c r="E46" s="71">
        <v>9800</v>
      </c>
      <c r="F46" s="72">
        <v>9972</v>
      </c>
      <c r="G46" s="73">
        <v>85</v>
      </c>
      <c r="H46" s="74">
        <f t="shared" si="2"/>
        <v>172</v>
      </c>
    </row>
    <row r="47" spans="1:8" s="97" customFormat="1" x14ac:dyDescent="0.25">
      <c r="A47" s="67">
        <v>43189</v>
      </c>
      <c r="B47" s="68" t="s">
        <v>14</v>
      </c>
      <c r="C47" s="69" t="s">
        <v>109</v>
      </c>
      <c r="D47" s="70" t="s">
        <v>191</v>
      </c>
      <c r="E47" s="71">
        <v>640</v>
      </c>
      <c r="F47" s="72">
        <v>667</v>
      </c>
      <c r="G47" s="73">
        <v>20</v>
      </c>
      <c r="H47" s="74">
        <f t="shared" si="2"/>
        <v>27</v>
      </c>
    </row>
    <row r="48" spans="1:8" s="97" customFormat="1" x14ac:dyDescent="0.25">
      <c r="A48" s="67">
        <v>43166</v>
      </c>
      <c r="B48" s="68" t="s">
        <v>184</v>
      </c>
      <c r="C48" s="69" t="s">
        <v>4</v>
      </c>
      <c r="D48" s="70" t="s">
        <v>120</v>
      </c>
      <c r="E48" s="71">
        <v>2453</v>
      </c>
      <c r="F48" s="72">
        <v>2522</v>
      </c>
      <c r="G48" s="73">
        <v>57</v>
      </c>
      <c r="H48" s="74">
        <f t="shared" si="2"/>
        <v>69</v>
      </c>
    </row>
    <row r="49" spans="1:8" s="97" customFormat="1" x14ac:dyDescent="0.25">
      <c r="A49" s="67">
        <v>43166</v>
      </c>
      <c r="B49" s="68" t="s">
        <v>184</v>
      </c>
      <c r="C49" s="69" t="s">
        <v>4</v>
      </c>
      <c r="D49" s="70" t="s">
        <v>6</v>
      </c>
      <c r="E49" s="71">
        <v>24908</v>
      </c>
      <c r="F49" s="72">
        <v>25088</v>
      </c>
      <c r="G49" s="73">
        <v>191</v>
      </c>
      <c r="H49" s="74">
        <f t="shared" si="2"/>
        <v>180</v>
      </c>
    </row>
    <row r="50" spans="1:8" s="97" customFormat="1" x14ac:dyDescent="0.25">
      <c r="A50" s="67">
        <v>43166</v>
      </c>
      <c r="B50" s="68" t="s">
        <v>184</v>
      </c>
      <c r="C50" s="69" t="s">
        <v>4</v>
      </c>
      <c r="D50" s="70" t="s">
        <v>16</v>
      </c>
      <c r="E50" s="71">
        <v>2733</v>
      </c>
      <c r="F50" s="72">
        <v>2739</v>
      </c>
      <c r="G50" s="73">
        <v>78</v>
      </c>
      <c r="H50" s="74">
        <f t="shared" si="2"/>
        <v>6</v>
      </c>
    </row>
    <row r="51" spans="1:8" s="97" customFormat="1" x14ac:dyDescent="0.25">
      <c r="A51" s="67">
        <v>43166</v>
      </c>
      <c r="B51" s="68" t="s">
        <v>184</v>
      </c>
      <c r="C51" s="69" t="s">
        <v>4</v>
      </c>
      <c r="D51" s="70" t="s">
        <v>185</v>
      </c>
      <c r="E51" s="71">
        <v>8156</v>
      </c>
      <c r="F51" s="72">
        <v>8255</v>
      </c>
      <c r="G51" s="73">
        <v>92</v>
      </c>
      <c r="H51" s="74">
        <f t="shared" si="2"/>
        <v>99</v>
      </c>
    </row>
    <row r="52" spans="1:8" s="97" customFormat="1" ht="15.75" thickBot="1" x14ac:dyDescent="0.3">
      <c r="A52" s="139">
        <v>43166</v>
      </c>
      <c r="B52" s="140" t="s">
        <v>184</v>
      </c>
      <c r="C52" s="114" t="s">
        <v>4</v>
      </c>
      <c r="D52" s="108" t="s">
        <v>164</v>
      </c>
      <c r="E52" s="98">
        <v>9034</v>
      </c>
      <c r="F52" s="141">
        <v>9228</v>
      </c>
      <c r="G52" s="109">
        <v>162</v>
      </c>
      <c r="H52" s="93">
        <f t="shared" si="2"/>
        <v>194</v>
      </c>
    </row>
    <row r="53" spans="1:8" ht="15.75" thickTop="1" x14ac:dyDescent="0.25">
      <c r="A53" s="142">
        <v>43192</v>
      </c>
      <c r="B53" s="143" t="s">
        <v>12</v>
      </c>
      <c r="C53" s="144" t="s">
        <v>11</v>
      </c>
      <c r="D53" s="80">
        <v>468248</v>
      </c>
      <c r="E53" s="145">
        <v>7756</v>
      </c>
      <c r="F53" s="146">
        <v>7882</v>
      </c>
      <c r="G53" s="147">
        <v>65</v>
      </c>
      <c r="H53" s="148">
        <f t="shared" ref="H53:H62" si="3">+F53-E53</f>
        <v>126</v>
      </c>
    </row>
    <row r="54" spans="1:8" x14ac:dyDescent="0.25">
      <c r="A54" s="137">
        <v>43192</v>
      </c>
      <c r="B54" s="68" t="s">
        <v>14</v>
      </c>
      <c r="C54" s="69" t="s">
        <v>4</v>
      </c>
      <c r="D54" s="70" t="s">
        <v>6</v>
      </c>
      <c r="E54" s="92">
        <v>19615</v>
      </c>
      <c r="F54" s="72">
        <v>19680</v>
      </c>
      <c r="G54" s="73">
        <v>162</v>
      </c>
      <c r="H54" s="74">
        <f t="shared" si="3"/>
        <v>65</v>
      </c>
    </row>
    <row r="55" spans="1:8" x14ac:dyDescent="0.25">
      <c r="A55" s="137">
        <v>43194</v>
      </c>
      <c r="B55" s="68" t="s">
        <v>13</v>
      </c>
      <c r="C55" s="69" t="s">
        <v>4</v>
      </c>
      <c r="D55" s="70" t="s">
        <v>16</v>
      </c>
      <c r="E55" s="92">
        <v>2729</v>
      </c>
      <c r="F55" s="72">
        <v>2734</v>
      </c>
      <c r="G55" s="73">
        <v>73</v>
      </c>
      <c r="H55" s="74">
        <f t="shared" si="3"/>
        <v>5</v>
      </c>
    </row>
    <row r="56" spans="1:8" x14ac:dyDescent="0.25">
      <c r="A56" s="137">
        <v>43194</v>
      </c>
      <c r="B56" s="68" t="s">
        <v>13</v>
      </c>
      <c r="C56" s="69" t="s">
        <v>4</v>
      </c>
      <c r="D56" s="70" t="s">
        <v>208</v>
      </c>
      <c r="E56" s="92">
        <v>2581</v>
      </c>
      <c r="F56" s="72">
        <v>2582</v>
      </c>
      <c r="G56" s="73">
        <v>52</v>
      </c>
      <c r="H56" s="74">
        <f t="shared" si="3"/>
        <v>1</v>
      </c>
    </row>
    <row r="57" spans="1:8" x14ac:dyDescent="0.25">
      <c r="A57" s="137">
        <v>43194</v>
      </c>
      <c r="B57" s="68" t="s">
        <v>13</v>
      </c>
      <c r="C57" s="69" t="s">
        <v>4</v>
      </c>
      <c r="D57" s="70" t="s">
        <v>206</v>
      </c>
      <c r="E57" s="92">
        <v>6895</v>
      </c>
      <c r="F57" s="72">
        <v>7031</v>
      </c>
      <c r="G57" s="73">
        <v>101</v>
      </c>
      <c r="H57" s="74">
        <f t="shared" si="3"/>
        <v>136</v>
      </c>
    </row>
    <row r="58" spans="1:8" x14ac:dyDescent="0.25">
      <c r="A58" s="137">
        <v>43199</v>
      </c>
      <c r="B58" s="68" t="s">
        <v>14</v>
      </c>
      <c r="C58" s="69" t="s">
        <v>109</v>
      </c>
      <c r="D58" s="70" t="s">
        <v>190</v>
      </c>
      <c r="E58" s="92">
        <v>200</v>
      </c>
      <c r="F58" s="72">
        <v>207</v>
      </c>
      <c r="G58" s="73">
        <v>11</v>
      </c>
      <c r="H58" s="74">
        <f t="shared" si="3"/>
        <v>7</v>
      </c>
    </row>
    <row r="59" spans="1:8" ht="15.75" thickBot="1" x14ac:dyDescent="0.3">
      <c r="A59" s="149">
        <v>43202</v>
      </c>
      <c r="B59" s="140" t="s">
        <v>211</v>
      </c>
      <c r="C59" s="114" t="s">
        <v>109</v>
      </c>
      <c r="D59" s="108" t="s">
        <v>212</v>
      </c>
      <c r="E59" s="138">
        <v>333</v>
      </c>
      <c r="F59" s="141">
        <v>339</v>
      </c>
      <c r="G59" s="109">
        <v>12</v>
      </c>
      <c r="H59" s="93">
        <f t="shared" si="3"/>
        <v>6</v>
      </c>
    </row>
    <row r="60" spans="1:8" ht="15.75" thickTop="1" x14ac:dyDescent="0.25">
      <c r="A60" s="142">
        <v>43222</v>
      </c>
      <c r="B60" s="143" t="s">
        <v>12</v>
      </c>
      <c r="C60" s="144" t="s">
        <v>11</v>
      </c>
      <c r="D60" s="80">
        <v>462516</v>
      </c>
      <c r="E60" s="145">
        <v>4500</v>
      </c>
      <c r="F60" s="146">
        <v>4575</v>
      </c>
      <c r="G60" s="147">
        <v>46</v>
      </c>
      <c r="H60" s="148">
        <f t="shared" si="3"/>
        <v>75</v>
      </c>
    </row>
    <row r="61" spans="1:8" x14ac:dyDescent="0.25">
      <c r="A61" s="137">
        <v>43250</v>
      </c>
      <c r="B61" s="68" t="s">
        <v>10</v>
      </c>
      <c r="C61" s="69" t="s">
        <v>11</v>
      </c>
      <c r="D61" s="70">
        <v>474304</v>
      </c>
      <c r="E61" s="92">
        <v>7054</v>
      </c>
      <c r="F61" s="72">
        <v>7186</v>
      </c>
      <c r="G61" s="73">
        <v>180</v>
      </c>
      <c r="H61" s="74">
        <f t="shared" si="3"/>
        <v>132</v>
      </c>
    </row>
    <row r="62" spans="1:8" x14ac:dyDescent="0.25">
      <c r="A62" s="137">
        <v>43229</v>
      </c>
      <c r="B62" s="68" t="s">
        <v>221</v>
      </c>
      <c r="C62" s="69" t="s">
        <v>4</v>
      </c>
      <c r="D62" s="70" t="s">
        <v>118</v>
      </c>
      <c r="E62" s="92">
        <v>6153</v>
      </c>
      <c r="F62" s="72">
        <v>6207</v>
      </c>
      <c r="G62" s="73">
        <v>148</v>
      </c>
      <c r="H62" s="74">
        <f t="shared" si="3"/>
        <v>54</v>
      </c>
    </row>
  </sheetData>
  <sortState ref="A2:H32">
    <sortCondition ref="D2:D32"/>
  </sortState>
  <mergeCells count="1">
    <mergeCell ref="A1:H1"/>
  </mergeCells>
  <printOptions horizontalCentered="1" verticalCentered="1"/>
  <pageMargins left="0" right="0" top="0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shipping 3</vt:lpstr>
      <vt:lpstr>shipping 1</vt:lpstr>
      <vt:lpstr>shipping 2</vt:lpstr>
      <vt:lpstr>THANG 6</vt:lpstr>
      <vt:lpstr>xuat thieu  </vt:lpstr>
      <vt:lpstr>xuat du</vt:lpstr>
      <vt:lpstr>'xuat du'!Print_Titles</vt:lpstr>
      <vt:lpstr>'xuat thieu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Acc</cp:lastModifiedBy>
  <cp:lastPrinted>2018-06-27T08:14:25Z</cp:lastPrinted>
  <dcterms:created xsi:type="dcterms:W3CDTF">2018-01-16T09:14:46Z</dcterms:created>
  <dcterms:modified xsi:type="dcterms:W3CDTF">2018-07-07T02:20:42Z</dcterms:modified>
</cp:coreProperties>
</file>