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4820" windowHeight="8130" activeTab="4"/>
  </bookViews>
  <sheets>
    <sheet name="home" sheetId="1" r:id="rId1"/>
    <sheet name="nhapdulieu" sheetId="2" r:id="rId2"/>
    <sheet name="tonkho" sheetId="3" r:id="rId3"/>
    <sheet name="thekho" sheetId="4" r:id="rId4"/>
    <sheet name="danhmuc" sheetId="5" r:id="rId5"/>
    <sheet name="in an" sheetId="6" r:id="rId6"/>
  </sheets>
  <definedNames>
    <definedName name="_xlnm._FilterDatabase" localSheetId="4" hidden="1">danhmuc!$B:$B</definedName>
    <definedName name="danhmuc">danhmuc!$C$4:$C$79</definedName>
    <definedName name="sophieu">nhapdulieu!$J$15:$J$67</definedName>
    <definedName name="TENCHITIET">danhmuc!$C$4:$C$122</definedName>
  </definedNames>
  <calcPr calcId="124519"/>
</workbook>
</file>

<file path=xl/calcChain.xml><?xml version="1.0" encoding="utf-8"?>
<calcChain xmlns="http://schemas.openxmlformats.org/spreadsheetml/2006/main">
  <c r="C10" i="4"/>
  <c r="C28" i="2"/>
  <c r="F28"/>
  <c r="L28"/>
  <c r="B28" s="1"/>
  <c r="N28"/>
  <c r="F29"/>
  <c r="L29"/>
  <c r="C29" s="1"/>
  <c r="N29"/>
  <c r="C30"/>
  <c r="F30"/>
  <c r="L30"/>
  <c r="B30" s="1"/>
  <c r="N30"/>
  <c r="F31"/>
  <c r="L31"/>
  <c r="C31" s="1"/>
  <c r="N31"/>
  <c r="C32"/>
  <c r="F32"/>
  <c r="L32"/>
  <c r="B32" s="1"/>
  <c r="N32"/>
  <c r="F33"/>
  <c r="L33"/>
  <c r="C33" s="1"/>
  <c r="N33"/>
  <c r="C34"/>
  <c r="F34"/>
  <c r="L34"/>
  <c r="B34" s="1"/>
  <c r="N34"/>
  <c r="F35"/>
  <c r="L35"/>
  <c r="C35" s="1"/>
  <c r="N35"/>
  <c r="C36"/>
  <c r="F36"/>
  <c r="L36"/>
  <c r="B36" s="1"/>
  <c r="N36"/>
  <c r="F37"/>
  <c r="L37"/>
  <c r="C37" s="1"/>
  <c r="N37"/>
  <c r="C38"/>
  <c r="F38"/>
  <c r="L38"/>
  <c r="B38" s="1"/>
  <c r="N38"/>
  <c r="F39"/>
  <c r="L39"/>
  <c r="C39" s="1"/>
  <c r="N39"/>
  <c r="C40"/>
  <c r="F40"/>
  <c r="L40"/>
  <c r="B40" s="1"/>
  <c r="N40"/>
  <c r="F41"/>
  <c r="L41"/>
  <c r="C41" s="1"/>
  <c r="N41"/>
  <c r="C42"/>
  <c r="F42"/>
  <c r="L42"/>
  <c r="B42" s="1"/>
  <c r="N42"/>
  <c r="F43"/>
  <c r="L43"/>
  <c r="C43" s="1"/>
  <c r="N43"/>
  <c r="C44"/>
  <c r="F44"/>
  <c r="L44"/>
  <c r="B44" s="1"/>
  <c r="N44"/>
  <c r="F45"/>
  <c r="L45"/>
  <c r="C45" s="1"/>
  <c r="N45"/>
  <c r="C46"/>
  <c r="F46"/>
  <c r="L46"/>
  <c r="B46" s="1"/>
  <c r="N46"/>
  <c r="F47"/>
  <c r="L47"/>
  <c r="C47" s="1"/>
  <c r="N47"/>
  <c r="C48"/>
  <c r="F48"/>
  <c r="L48"/>
  <c r="B48" s="1"/>
  <c r="N48"/>
  <c r="F49"/>
  <c r="L49"/>
  <c r="C49" s="1"/>
  <c r="N49"/>
  <c r="C50"/>
  <c r="F50"/>
  <c r="L50"/>
  <c r="B50" s="1"/>
  <c r="N50"/>
  <c r="F51"/>
  <c r="L51"/>
  <c r="C51" s="1"/>
  <c r="N51"/>
  <c r="C52"/>
  <c r="F52"/>
  <c r="L52"/>
  <c r="B52" s="1"/>
  <c r="N52"/>
  <c r="F53"/>
  <c r="L53"/>
  <c r="C53" s="1"/>
  <c r="N53"/>
  <c r="C54"/>
  <c r="F54"/>
  <c r="L54"/>
  <c r="B54" s="1"/>
  <c r="N54"/>
  <c r="F55"/>
  <c r="L55"/>
  <c r="C55" s="1"/>
  <c r="N55"/>
  <c r="C56"/>
  <c r="F56"/>
  <c r="L56"/>
  <c r="B56" s="1"/>
  <c r="N56"/>
  <c r="F57"/>
  <c r="L57"/>
  <c r="C57" s="1"/>
  <c r="N57"/>
  <c r="C58"/>
  <c r="F58"/>
  <c r="L58"/>
  <c r="B58" s="1"/>
  <c r="N58"/>
  <c r="F59"/>
  <c r="L59"/>
  <c r="C59" s="1"/>
  <c r="N59"/>
  <c r="C60"/>
  <c r="F60"/>
  <c r="L60"/>
  <c r="B60" s="1"/>
  <c r="N60"/>
  <c r="F61"/>
  <c r="L61"/>
  <c r="C61" s="1"/>
  <c r="N61"/>
  <c r="C62"/>
  <c r="F62"/>
  <c r="L62"/>
  <c r="B62" s="1"/>
  <c r="N62"/>
  <c r="F63"/>
  <c r="L63"/>
  <c r="C63" s="1"/>
  <c r="N63"/>
  <c r="C64"/>
  <c r="F64"/>
  <c r="L64"/>
  <c r="B64" s="1"/>
  <c r="N64"/>
  <c r="F65"/>
  <c r="L65"/>
  <c r="C65" s="1"/>
  <c r="N65"/>
  <c r="C66"/>
  <c r="F66"/>
  <c r="L66"/>
  <c r="B66" s="1"/>
  <c r="N66"/>
  <c r="F67"/>
  <c r="L67"/>
  <c r="C67" s="1"/>
  <c r="N67"/>
  <c r="L19"/>
  <c r="L20"/>
  <c r="L21"/>
  <c r="N20"/>
  <c r="N16"/>
  <c r="N17"/>
  <c r="N18"/>
  <c r="N19"/>
  <c r="N21"/>
  <c r="N22"/>
  <c r="N23"/>
  <c r="N24"/>
  <c r="N25"/>
  <c r="N26"/>
  <c r="N27"/>
  <c r="N15"/>
  <c r="F27"/>
  <c r="F15"/>
  <c r="F16" s="1"/>
  <c r="F17" s="1"/>
  <c r="F18" s="1"/>
  <c r="F19" s="1"/>
  <c r="F20" s="1"/>
  <c r="F21" s="1"/>
  <c r="F22" s="1"/>
  <c r="F23" s="1"/>
  <c r="F24" s="1"/>
  <c r="F25" s="1"/>
  <c r="F26" s="1"/>
  <c r="L16"/>
  <c r="L17"/>
  <c r="L18"/>
  <c r="L22"/>
  <c r="L23"/>
  <c r="E23" s="1"/>
  <c r="L24"/>
  <c r="L25"/>
  <c r="E25" s="1"/>
  <c r="L26"/>
  <c r="L27"/>
  <c r="L15"/>
  <c r="E5" i="6"/>
  <c r="G22"/>
  <c r="G23"/>
  <c r="G24"/>
  <c r="A10" i="2"/>
  <c r="A28" s="1"/>
  <c r="A17" i="4"/>
  <c r="C17" s="1"/>
  <c r="I17" s="1"/>
  <c r="A18"/>
  <c r="D18" s="1"/>
  <c r="A19"/>
  <c r="C19" s="1"/>
  <c r="I19" s="1"/>
  <c r="A20"/>
  <c r="D20" s="1"/>
  <c r="A21"/>
  <c r="C21" s="1"/>
  <c r="I21" s="1"/>
  <c r="A22"/>
  <c r="D22" s="1"/>
  <c r="A23"/>
  <c r="C23" s="1"/>
  <c r="I23" s="1"/>
  <c r="A24"/>
  <c r="D24" s="1"/>
  <c r="A25"/>
  <c r="C25" s="1"/>
  <c r="I25" s="1"/>
  <c r="A26"/>
  <c r="D26" s="1"/>
  <c r="A27"/>
  <c r="C27" s="1"/>
  <c r="I27" s="1"/>
  <c r="A28"/>
  <c r="B28" s="1"/>
  <c r="A29"/>
  <c r="D29" s="1"/>
  <c r="A30"/>
  <c r="C30" s="1"/>
  <c r="I30" s="1"/>
  <c r="A31"/>
  <c r="D31" s="1"/>
  <c r="A32"/>
  <c r="C32" s="1"/>
  <c r="I32" s="1"/>
  <c r="A33"/>
  <c r="D33" s="1"/>
  <c r="A34"/>
  <c r="C34" s="1"/>
  <c r="I34" s="1"/>
  <c r="A35"/>
  <c r="D35" s="1"/>
  <c r="A36"/>
  <c r="C36" s="1"/>
  <c r="I36" s="1"/>
  <c r="A37"/>
  <c r="D37" s="1"/>
  <c r="A38"/>
  <c r="C38" s="1"/>
  <c r="I38" s="1"/>
  <c r="A39"/>
  <c r="D39" s="1"/>
  <c r="A40"/>
  <c r="B40" s="1"/>
  <c r="A41"/>
  <c r="C41" s="1"/>
  <c r="I41" s="1"/>
  <c r="A42"/>
  <c r="D42" s="1"/>
  <c r="A43"/>
  <c r="C43" s="1"/>
  <c r="I43" s="1"/>
  <c r="A44"/>
  <c r="D44" s="1"/>
  <c r="A45"/>
  <c r="C45" s="1"/>
  <c r="I45" s="1"/>
  <c r="A46"/>
  <c r="D46" s="1"/>
  <c r="A47"/>
  <c r="C47" s="1"/>
  <c r="I47" s="1"/>
  <c r="A48"/>
  <c r="D48" s="1"/>
  <c r="A49"/>
  <c r="C49" s="1"/>
  <c r="I49" s="1"/>
  <c r="A50"/>
  <c r="D50" s="1"/>
  <c r="A51"/>
  <c r="C51" s="1"/>
  <c r="I51" s="1"/>
  <c r="L7" i="2"/>
  <c r="K7"/>
  <c r="G5" i="5"/>
  <c r="G11" i="4"/>
  <c r="H9"/>
  <c r="F10" i="6" s="1"/>
  <c r="J8" i="2"/>
  <c r="J7"/>
  <c r="C16"/>
  <c r="C17"/>
  <c r="C18"/>
  <c r="C19"/>
  <c r="C20"/>
  <c r="C21"/>
  <c r="C22"/>
  <c r="C23"/>
  <c r="C24"/>
  <c r="C25"/>
  <c r="C26"/>
  <c r="C27"/>
  <c r="N11"/>
  <c r="G94" i="5"/>
  <c r="G95"/>
  <c r="G96"/>
  <c r="G97"/>
  <c r="G98"/>
  <c r="G99"/>
  <c r="G100"/>
  <c r="G93"/>
  <c r="G92"/>
  <c r="G91"/>
  <c r="G85"/>
  <c r="G86"/>
  <c r="G88"/>
  <c r="G87"/>
  <c r="G76"/>
  <c r="G77"/>
  <c r="G78"/>
  <c r="G79"/>
  <c r="G80"/>
  <c r="G81"/>
  <c r="G82"/>
  <c r="G83"/>
  <c r="G84"/>
  <c r="G89"/>
  <c r="G9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71"/>
  <c r="G72"/>
  <c r="G73"/>
  <c r="G74"/>
  <c r="G75"/>
  <c r="H68"/>
  <c r="H67"/>
  <c r="G7"/>
  <c r="E19" i="2"/>
  <c r="E21"/>
  <c r="E27"/>
  <c r="G67" i="5"/>
  <c r="G68"/>
  <c r="G69"/>
  <c r="G70"/>
  <c r="G6"/>
  <c r="G8"/>
  <c r="G9"/>
  <c r="G10"/>
  <c r="G11"/>
  <c r="G12"/>
  <c r="G13"/>
  <c r="G14"/>
  <c r="G15"/>
  <c r="G16"/>
  <c r="G17"/>
  <c r="G18"/>
  <c r="E17" i="2" s="1"/>
  <c r="G19" i="5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E5" i="1"/>
  <c r="C5"/>
  <c r="A5"/>
  <c r="A66" i="2" l="1"/>
  <c r="A65"/>
  <c r="A62"/>
  <c r="A61"/>
  <c r="A58"/>
  <c r="A57"/>
  <c r="A54"/>
  <c r="A53"/>
  <c r="A50"/>
  <c r="A49"/>
  <c r="A46"/>
  <c r="A45"/>
  <c r="A42"/>
  <c r="A41"/>
  <c r="A38"/>
  <c r="A37"/>
  <c r="A34"/>
  <c r="A33"/>
  <c r="A30"/>
  <c r="A29"/>
  <c r="A67"/>
  <c r="A64"/>
  <c r="A63"/>
  <c r="A60"/>
  <c r="A59"/>
  <c r="A56"/>
  <c r="A55"/>
  <c r="A52"/>
  <c r="A51"/>
  <c r="A48"/>
  <c r="A47"/>
  <c r="A44"/>
  <c r="A43"/>
  <c r="A40"/>
  <c r="A39"/>
  <c r="A36"/>
  <c r="A35"/>
  <c r="A32"/>
  <c r="A31"/>
  <c r="H51" i="4"/>
  <c r="F51"/>
  <c r="D51"/>
  <c r="G50"/>
  <c r="E50"/>
  <c r="C50"/>
  <c r="I50" s="1"/>
  <c r="H49"/>
  <c r="F49"/>
  <c r="D49"/>
  <c r="G48"/>
  <c r="E48"/>
  <c r="C48"/>
  <c r="I48" s="1"/>
  <c r="H47"/>
  <c r="F47"/>
  <c r="D47"/>
  <c r="G46"/>
  <c r="E46"/>
  <c r="C46"/>
  <c r="I46" s="1"/>
  <c r="H45"/>
  <c r="F45"/>
  <c r="D45"/>
  <c r="G44"/>
  <c r="E44"/>
  <c r="C44"/>
  <c r="I44" s="1"/>
  <c r="H43"/>
  <c r="F43"/>
  <c r="D43"/>
  <c r="G42"/>
  <c r="E42"/>
  <c r="C42"/>
  <c r="I42" s="1"/>
  <c r="H41"/>
  <c r="F41"/>
  <c r="D41"/>
  <c r="G39"/>
  <c r="E39"/>
  <c r="C39"/>
  <c r="I39" s="1"/>
  <c r="H38"/>
  <c r="F38"/>
  <c r="D38"/>
  <c r="G37"/>
  <c r="E37"/>
  <c r="C37"/>
  <c r="I37" s="1"/>
  <c r="H36"/>
  <c r="F36"/>
  <c r="D36"/>
  <c r="G35"/>
  <c r="E35"/>
  <c r="C35"/>
  <c r="I35" s="1"/>
  <c r="H34"/>
  <c r="F34"/>
  <c r="D34"/>
  <c r="G33"/>
  <c r="E33"/>
  <c r="C33"/>
  <c r="I33" s="1"/>
  <c r="H32"/>
  <c r="F32"/>
  <c r="D32"/>
  <c r="G31"/>
  <c r="E31"/>
  <c r="C31"/>
  <c r="I31" s="1"/>
  <c r="H30"/>
  <c r="F30"/>
  <c r="D30"/>
  <c r="G29"/>
  <c r="E29"/>
  <c r="C29"/>
  <c r="I29" s="1"/>
  <c r="H27"/>
  <c r="F27"/>
  <c r="D27"/>
  <c r="G26"/>
  <c r="E26"/>
  <c r="C26"/>
  <c r="I26" s="1"/>
  <c r="H25"/>
  <c r="F25"/>
  <c r="D25"/>
  <c r="G24"/>
  <c r="E24"/>
  <c r="C24"/>
  <c r="I24" s="1"/>
  <c r="H23"/>
  <c r="F23"/>
  <c r="D23"/>
  <c r="G22"/>
  <c r="E22"/>
  <c r="C22"/>
  <c r="I22" s="1"/>
  <c r="H21"/>
  <c r="F21"/>
  <c r="D21"/>
  <c r="G20"/>
  <c r="E20"/>
  <c r="C20"/>
  <c r="I20" s="1"/>
  <c r="H19"/>
  <c r="F19"/>
  <c r="D19"/>
  <c r="G18"/>
  <c r="E18"/>
  <c r="C18"/>
  <c r="I18" s="1"/>
  <c r="H17"/>
  <c r="F17"/>
  <c r="D17"/>
  <c r="G51"/>
  <c r="E51"/>
  <c r="H50"/>
  <c r="F50"/>
  <c r="G49"/>
  <c r="E49"/>
  <c r="H48"/>
  <c r="F48"/>
  <c r="G47"/>
  <c r="E47"/>
  <c r="H46"/>
  <c r="F46"/>
  <c r="G45"/>
  <c r="E45"/>
  <c r="H44"/>
  <c r="F44"/>
  <c r="G43"/>
  <c r="E43"/>
  <c r="H42"/>
  <c r="F42"/>
  <c r="G41"/>
  <c r="E41"/>
  <c r="H39"/>
  <c r="F39"/>
  <c r="G38"/>
  <c r="E38"/>
  <c r="H37"/>
  <c r="F37"/>
  <c r="G36"/>
  <c r="E36"/>
  <c r="H35"/>
  <c r="F35"/>
  <c r="G34"/>
  <c r="E34"/>
  <c r="H33"/>
  <c r="F33"/>
  <c r="G32"/>
  <c r="E32"/>
  <c r="H31"/>
  <c r="F31"/>
  <c r="G30"/>
  <c r="E30"/>
  <c r="H29"/>
  <c r="F29"/>
  <c r="G27"/>
  <c r="E27"/>
  <c r="H26"/>
  <c r="F26"/>
  <c r="G25"/>
  <c r="E25"/>
  <c r="H24"/>
  <c r="F24"/>
  <c r="G23"/>
  <c r="E23"/>
  <c r="H22"/>
  <c r="F22"/>
  <c r="G21"/>
  <c r="E21"/>
  <c r="H20"/>
  <c r="F20"/>
  <c r="G19"/>
  <c r="E19"/>
  <c r="H18"/>
  <c r="F18"/>
  <c r="G17"/>
  <c r="E17"/>
  <c r="H40"/>
  <c r="F40"/>
  <c r="D40"/>
  <c r="H28"/>
  <c r="F28"/>
  <c r="D28"/>
  <c r="G40"/>
  <c r="E40"/>
  <c r="C40"/>
  <c r="I40" s="1"/>
  <c r="G28"/>
  <c r="E28"/>
  <c r="C28"/>
  <c r="I28" s="1"/>
  <c r="E67" i="2"/>
  <c r="B67"/>
  <c r="E65"/>
  <c r="B65"/>
  <c r="E63"/>
  <c r="B63"/>
  <c r="E61"/>
  <c r="B61"/>
  <c r="E59"/>
  <c r="B59"/>
  <c r="E57"/>
  <c r="B57"/>
  <c r="E55"/>
  <c r="B55"/>
  <c r="E53"/>
  <c r="B53"/>
  <c r="E51"/>
  <c r="B51"/>
  <c r="E49"/>
  <c r="B49"/>
  <c r="E47"/>
  <c r="B47"/>
  <c r="E45"/>
  <c r="B45"/>
  <c r="E43"/>
  <c r="B43"/>
  <c r="E41"/>
  <c r="B41"/>
  <c r="E39"/>
  <c r="B39"/>
  <c r="E37"/>
  <c r="B37"/>
  <c r="E35"/>
  <c r="B35"/>
  <c r="E33"/>
  <c r="B33"/>
  <c r="E31"/>
  <c r="B31"/>
  <c r="E29"/>
  <c r="B29"/>
  <c r="E66"/>
  <c r="E64"/>
  <c r="E62"/>
  <c r="E60"/>
  <c r="E58"/>
  <c r="E56"/>
  <c r="E54"/>
  <c r="E52"/>
  <c r="E50"/>
  <c r="E48"/>
  <c r="E46"/>
  <c r="E44"/>
  <c r="E42"/>
  <c r="E40"/>
  <c r="E38"/>
  <c r="E36"/>
  <c r="E34"/>
  <c r="E32"/>
  <c r="E30"/>
  <c r="E28"/>
  <c r="E26"/>
  <c r="E24"/>
  <c r="E22"/>
  <c r="E20"/>
  <c r="A20"/>
  <c r="A15"/>
  <c r="A22"/>
  <c r="A16"/>
  <c r="A17" s="1"/>
  <c r="A27"/>
  <c r="A21"/>
  <c r="B50" i="4"/>
  <c r="B48"/>
  <c r="B46"/>
  <c r="B44"/>
  <c r="B42"/>
  <c r="B39"/>
  <c r="B37"/>
  <c r="B35"/>
  <c r="B33"/>
  <c r="B31"/>
  <c r="B29"/>
  <c r="B26"/>
  <c r="B24"/>
  <c r="B22"/>
  <c r="B20"/>
  <c r="B18"/>
  <c r="B51"/>
  <c r="B49"/>
  <c r="B47"/>
  <c r="B45"/>
  <c r="B43"/>
  <c r="B41"/>
  <c r="B38"/>
  <c r="B36"/>
  <c r="B34"/>
  <c r="B32"/>
  <c r="B30"/>
  <c r="B27"/>
  <c r="B25"/>
  <c r="B23"/>
  <c r="B21"/>
  <c r="B19"/>
  <c r="B17"/>
  <c r="B26" i="2"/>
  <c r="B24"/>
  <c r="B22"/>
  <c r="B20"/>
  <c r="B27"/>
  <c r="B25"/>
  <c r="B23"/>
  <c r="B21"/>
  <c r="B19"/>
  <c r="B15"/>
  <c r="B18"/>
  <c r="B16"/>
  <c r="C15"/>
  <c r="F68"/>
  <c r="E15"/>
  <c r="D15" s="1"/>
  <c r="E18"/>
  <c r="E16"/>
  <c r="A18" l="1"/>
  <c r="B17"/>
  <c r="A52" i="4" s="1"/>
  <c r="A16" s="1"/>
  <c r="D16" i="2"/>
  <c r="D17" s="1"/>
  <c r="D18" s="1"/>
  <c r="D68" s="1"/>
  <c r="A9" i="3" s="1"/>
  <c r="A20" l="1"/>
  <c r="A21"/>
  <c r="A24"/>
  <c r="A25"/>
  <c r="A28"/>
  <c r="A29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2"/>
  <c r="A53"/>
  <c r="A16"/>
  <c r="A17"/>
  <c r="A18"/>
  <c r="A19"/>
  <c r="A22"/>
  <c r="A23"/>
  <c r="A26"/>
  <c r="A27"/>
  <c r="A30"/>
  <c r="A31"/>
  <c r="A50"/>
  <c r="A51"/>
  <c r="A54"/>
  <c r="B16" i="4"/>
  <c r="C16"/>
  <c r="I16" s="1"/>
  <c r="A19" i="2"/>
  <c r="H16" i="4"/>
  <c r="G16"/>
  <c r="E16"/>
  <c r="D16"/>
  <c r="A14" i="3"/>
  <c r="A12"/>
  <c r="A13"/>
  <c r="A15"/>
  <c r="A23" i="2" l="1"/>
  <c r="A24" s="1"/>
  <c r="A25" s="1"/>
  <c r="A26" s="1"/>
  <c r="A68" s="1"/>
  <c r="J2" i="6" s="1"/>
  <c r="B13" s="1"/>
  <c r="B54" i="3"/>
  <c r="C54"/>
  <c r="I54"/>
  <c r="E54"/>
  <c r="F54"/>
  <c r="D54"/>
  <c r="B50"/>
  <c r="C50"/>
  <c r="I50"/>
  <c r="E50"/>
  <c r="F50"/>
  <c r="D50"/>
  <c r="B30"/>
  <c r="C30"/>
  <c r="I30"/>
  <c r="E30"/>
  <c r="F30"/>
  <c r="D30"/>
  <c r="B26"/>
  <c r="C26"/>
  <c r="I26"/>
  <c r="E26"/>
  <c r="F26"/>
  <c r="D26"/>
  <c r="B22"/>
  <c r="C22"/>
  <c r="I22"/>
  <c r="E22"/>
  <c r="F22"/>
  <c r="D22"/>
  <c r="B18"/>
  <c r="C18"/>
  <c r="I18"/>
  <c r="E18"/>
  <c r="F18"/>
  <c r="D18"/>
  <c r="B16"/>
  <c r="C16"/>
  <c r="I16"/>
  <c r="E16"/>
  <c r="F16"/>
  <c r="D16"/>
  <c r="B52"/>
  <c r="E52"/>
  <c r="C52"/>
  <c r="I52"/>
  <c r="F52"/>
  <c r="D52"/>
  <c r="B48"/>
  <c r="E48"/>
  <c r="C48"/>
  <c r="I48"/>
  <c r="F48"/>
  <c r="D48"/>
  <c r="B46"/>
  <c r="E46"/>
  <c r="C46"/>
  <c r="I46"/>
  <c r="F46"/>
  <c r="D46"/>
  <c r="B44"/>
  <c r="E44"/>
  <c r="C44"/>
  <c r="I44"/>
  <c r="F44"/>
  <c r="D44"/>
  <c r="B42"/>
  <c r="E42"/>
  <c r="C42"/>
  <c r="I42"/>
  <c r="F42"/>
  <c r="D42"/>
  <c r="B40"/>
  <c r="E40"/>
  <c r="C40"/>
  <c r="I40"/>
  <c r="F40"/>
  <c r="D40"/>
  <c r="B38"/>
  <c r="E38"/>
  <c r="C38"/>
  <c r="I38"/>
  <c r="F38"/>
  <c r="D38"/>
  <c r="B36"/>
  <c r="E36"/>
  <c r="C36"/>
  <c r="I36"/>
  <c r="F36"/>
  <c r="D36"/>
  <c r="B34"/>
  <c r="E34"/>
  <c r="C34"/>
  <c r="I34"/>
  <c r="F34"/>
  <c r="D34"/>
  <c r="B32"/>
  <c r="E32"/>
  <c r="C32"/>
  <c r="I32"/>
  <c r="F32"/>
  <c r="D32"/>
  <c r="B28"/>
  <c r="E28"/>
  <c r="C28"/>
  <c r="I28"/>
  <c r="F28"/>
  <c r="D28"/>
  <c r="B24"/>
  <c r="E24"/>
  <c r="C24"/>
  <c r="I24"/>
  <c r="F24"/>
  <c r="D24"/>
  <c r="B20"/>
  <c r="E20"/>
  <c r="C20"/>
  <c r="I20"/>
  <c r="F20"/>
  <c r="D20"/>
  <c r="B51"/>
  <c r="D51"/>
  <c r="F51"/>
  <c r="C51"/>
  <c r="E51"/>
  <c r="I51"/>
  <c r="B31"/>
  <c r="D31"/>
  <c r="F31"/>
  <c r="C31"/>
  <c r="E31"/>
  <c r="I31"/>
  <c r="B27"/>
  <c r="D27"/>
  <c r="F27"/>
  <c r="C27"/>
  <c r="E27"/>
  <c r="I27"/>
  <c r="B23"/>
  <c r="D23"/>
  <c r="F23"/>
  <c r="C23"/>
  <c r="E23"/>
  <c r="I23"/>
  <c r="B19"/>
  <c r="D19"/>
  <c r="F19"/>
  <c r="C19"/>
  <c r="E19"/>
  <c r="I19"/>
  <c r="B17"/>
  <c r="D17"/>
  <c r="F17"/>
  <c r="I17"/>
  <c r="C17"/>
  <c r="E17"/>
  <c r="C53"/>
  <c r="E53"/>
  <c r="I53"/>
  <c r="B53"/>
  <c r="D53"/>
  <c r="F53"/>
  <c r="C49"/>
  <c r="E49"/>
  <c r="I49"/>
  <c r="B49"/>
  <c r="D49"/>
  <c r="F49"/>
  <c r="C47"/>
  <c r="E47"/>
  <c r="B47"/>
  <c r="D47"/>
  <c r="F47"/>
  <c r="I47"/>
  <c r="C45"/>
  <c r="E45"/>
  <c r="B45"/>
  <c r="D45"/>
  <c r="F45"/>
  <c r="I45"/>
  <c r="C43"/>
  <c r="E43"/>
  <c r="B43"/>
  <c r="D43"/>
  <c r="F43"/>
  <c r="I43"/>
  <c r="C41"/>
  <c r="E41"/>
  <c r="B41"/>
  <c r="D41"/>
  <c r="F41"/>
  <c r="I41"/>
  <c r="C39"/>
  <c r="E39"/>
  <c r="B39"/>
  <c r="D39"/>
  <c r="F39"/>
  <c r="I39"/>
  <c r="C37"/>
  <c r="E37"/>
  <c r="B37"/>
  <c r="D37"/>
  <c r="F37"/>
  <c r="I37"/>
  <c r="C35"/>
  <c r="E35"/>
  <c r="B35"/>
  <c r="D35"/>
  <c r="F35"/>
  <c r="I35"/>
  <c r="C33"/>
  <c r="E33"/>
  <c r="B33"/>
  <c r="D33"/>
  <c r="F33"/>
  <c r="I33"/>
  <c r="C29"/>
  <c r="E29"/>
  <c r="I29"/>
  <c r="B29"/>
  <c r="D29"/>
  <c r="F29"/>
  <c r="C25"/>
  <c r="E25"/>
  <c r="I25"/>
  <c r="B25"/>
  <c r="D25"/>
  <c r="F25"/>
  <c r="C21"/>
  <c r="E21"/>
  <c r="I21"/>
  <c r="B21"/>
  <c r="D21"/>
  <c r="F21"/>
  <c r="F16" i="4"/>
  <c r="C12" i="3"/>
  <c r="D12" s="1"/>
  <c r="B13"/>
  <c r="F13" s="1"/>
  <c r="C13"/>
  <c r="D13" s="1"/>
  <c r="C14"/>
  <c r="D14" s="1"/>
  <c r="B14"/>
  <c r="B15"/>
  <c r="F15" s="1"/>
  <c r="C15"/>
  <c r="D15" s="1"/>
  <c r="B12"/>
  <c r="G33" l="1"/>
  <c r="H33"/>
  <c r="G35"/>
  <c r="H35"/>
  <c r="G37"/>
  <c r="H37"/>
  <c r="G39"/>
  <c r="H39"/>
  <c r="G41"/>
  <c r="H41"/>
  <c r="G43"/>
  <c r="H43"/>
  <c r="G45"/>
  <c r="H45"/>
  <c r="G47"/>
  <c r="H47"/>
  <c r="G17"/>
  <c r="H17"/>
  <c r="G19"/>
  <c r="H19"/>
  <c r="G23"/>
  <c r="H23"/>
  <c r="G27"/>
  <c r="H27"/>
  <c r="G31"/>
  <c r="H31"/>
  <c r="G51"/>
  <c r="H51"/>
  <c r="G20"/>
  <c r="H20"/>
  <c r="G24"/>
  <c r="H24"/>
  <c r="G28"/>
  <c r="H28"/>
  <c r="G32"/>
  <c r="H32"/>
  <c r="G34"/>
  <c r="H34"/>
  <c r="G36"/>
  <c r="H36"/>
  <c r="G38"/>
  <c r="H38"/>
  <c r="G40"/>
  <c r="H40"/>
  <c r="G42"/>
  <c r="H42"/>
  <c r="G44"/>
  <c r="H44"/>
  <c r="G46"/>
  <c r="H46"/>
  <c r="G48"/>
  <c r="H48"/>
  <c r="G52"/>
  <c r="H52"/>
  <c r="G16"/>
  <c r="H16"/>
  <c r="G18"/>
  <c r="H18"/>
  <c r="G22"/>
  <c r="H22"/>
  <c r="G26"/>
  <c r="H26"/>
  <c r="G30"/>
  <c r="H30"/>
  <c r="G50"/>
  <c r="H50"/>
  <c r="G54"/>
  <c r="H54"/>
  <c r="G21"/>
  <c r="H21"/>
  <c r="G25"/>
  <c r="H25"/>
  <c r="G29"/>
  <c r="H29"/>
  <c r="G49"/>
  <c r="H49"/>
  <c r="G53"/>
  <c r="H53"/>
  <c r="B19" i="6"/>
  <c r="B20"/>
  <c r="B12"/>
  <c r="B15"/>
  <c r="B16"/>
  <c r="B21"/>
  <c r="B17"/>
  <c r="B11"/>
  <c r="B18"/>
  <c r="B14"/>
  <c r="H14" i="3"/>
  <c r="G14"/>
  <c r="E12"/>
  <c r="E15"/>
  <c r="E14"/>
  <c r="E13"/>
  <c r="H12"/>
  <c r="G12"/>
  <c r="H15"/>
  <c r="G15"/>
  <c r="H13"/>
  <c r="G13"/>
  <c r="F12"/>
  <c r="F14"/>
  <c r="I14" s="1"/>
  <c r="I15"/>
  <c r="G7" i="6" l="1"/>
  <c r="E11"/>
  <c r="C11"/>
  <c r="E30"/>
  <c r="G11"/>
  <c r="G30"/>
  <c r="H30"/>
  <c r="D11"/>
  <c r="I13" i="3"/>
  <c r="I12"/>
</calcChain>
</file>

<file path=xl/comments1.xml><?xml version="1.0" encoding="utf-8"?>
<comments xmlns="http://schemas.openxmlformats.org/spreadsheetml/2006/main">
  <authors>
    <author>Admin</author>
  </authors>
  <commentList>
    <comment ref="A14" authorId="0">
      <text>
        <r>
          <rPr>
            <b/>
            <sz val="8"/>
            <color indexed="81"/>
            <rFont val="Tahoma"/>
            <family val="2"/>
          </rPr>
          <t>Trung gian in phiếu</t>
        </r>
      </text>
    </comment>
    <comment ref="B14" authorId="0">
      <text>
        <r>
          <rPr>
            <sz val="8"/>
            <color indexed="81"/>
            <rFont val="Tahoma"/>
            <family val="2"/>
          </rPr>
          <t xml:space="preserve">trung gian tính hàng tồn kho
</t>
        </r>
      </text>
    </comment>
  </commentList>
</comments>
</file>

<file path=xl/sharedStrings.xml><?xml version="1.0" encoding="utf-8"?>
<sst xmlns="http://schemas.openxmlformats.org/spreadsheetml/2006/main" count="485" uniqueCount="342">
  <si>
    <t>Xuất Nhập Tồn</t>
  </si>
  <si>
    <t>Ngày</t>
  </si>
  <si>
    <t xml:space="preserve">Tháng </t>
  </si>
  <si>
    <t>Nhập Dữ Liệu</t>
  </si>
  <si>
    <t>Tồn Ngày</t>
  </si>
  <si>
    <t>Bổ sung Danh
 Mục DK</t>
  </si>
  <si>
    <t>Năm</t>
  </si>
  <si>
    <t>Thẻ kho</t>
  </si>
  <si>
    <t>Bổ Sung Danh Mục</t>
  </si>
  <si>
    <t>Mã HH</t>
  </si>
  <si>
    <t>Tên chi tiết</t>
  </si>
  <si>
    <t>quy cách</t>
  </si>
  <si>
    <t>DVT</t>
  </si>
  <si>
    <t>HH-T06B 743*60</t>
  </si>
  <si>
    <t>chân bàn caphe</t>
  </si>
  <si>
    <t>HH-#2217T BÀN HS wh</t>
  </si>
  <si>
    <t>BÀN HS wh</t>
  </si>
  <si>
    <t>CHÂN BÀN HS wh</t>
  </si>
  <si>
    <t>HH-#2217T M/1</t>
  </si>
  <si>
    <t>MẶT BÀN HS wh</t>
  </si>
  <si>
    <t>HH-#2217T G/2</t>
  </si>
  <si>
    <t>Giá cuộn giấy BÀN HS wh</t>
  </si>
  <si>
    <t>HH-#2217T N/3</t>
  </si>
  <si>
    <t>Nẹp cuộn giấy BÀN HS wh</t>
  </si>
  <si>
    <t>HH-#2217T BÀN HS NA</t>
  </si>
  <si>
    <t>CHÂN BÀN HS NA</t>
  </si>
  <si>
    <t>HH-#2217T M</t>
  </si>
  <si>
    <t>MẶT BÀN HS NA</t>
  </si>
  <si>
    <t>HH-#2217T G</t>
  </si>
  <si>
    <t>Giá cuộn giấy BÀN HS NA</t>
  </si>
  <si>
    <t>HH-#2217T N</t>
  </si>
  <si>
    <t>Nẹp cuộn giấy BÀN HS NA</t>
  </si>
  <si>
    <t xml:space="preserve">BO60*20 </t>
  </si>
  <si>
    <t>CON BỌ BÀN ĂN</t>
  </si>
  <si>
    <t>BO90*20</t>
  </si>
  <si>
    <t>Bọ tam giác 90*20*70</t>
  </si>
  <si>
    <t>HHO-OT034/ET</t>
  </si>
  <si>
    <t>Chân bàn 540*45</t>
  </si>
  <si>
    <t>HH-OT034 CT</t>
  </si>
  <si>
    <t>Chân bàn 438*45</t>
  </si>
  <si>
    <t>HH-0T034CT</t>
  </si>
  <si>
    <t>Thanh thặng ván đáy</t>
  </si>
  <si>
    <t>HH-T027NL</t>
  </si>
  <si>
    <t>chân 743 tròn</t>
  </si>
  <si>
    <t>HH-C048/1</t>
  </si>
  <si>
    <t>Lưng ghế c048</t>
  </si>
  <si>
    <t>HH-C048/2</t>
  </si>
  <si>
    <t>Khung ghế c048</t>
  </si>
  <si>
    <t>HH-C048/3</t>
  </si>
  <si>
    <t>Chân ghế c048</t>
  </si>
  <si>
    <t>HH-T06B</t>
  </si>
  <si>
    <t>chân bàn café xéo 743</t>
  </si>
  <si>
    <t>Bọ Bàn ăn 45 vuông</t>
  </si>
  <si>
    <t>TVN 455*70</t>
  </si>
  <si>
    <t>CHÂN BÀN 455</t>
  </si>
  <si>
    <t>TVN 580*65</t>
  </si>
  <si>
    <t>CHÂN BÀN 580</t>
  </si>
  <si>
    <t>TVN 735*70</t>
  </si>
  <si>
    <t>CHÂN BÀN 735</t>
  </si>
  <si>
    <t>743*60*60</t>
  </si>
  <si>
    <t>pcs</t>
  </si>
  <si>
    <t>60*20*60</t>
  </si>
  <si>
    <t>90*20*70</t>
  </si>
  <si>
    <t>540*45*45</t>
  </si>
  <si>
    <t>438*45*45</t>
  </si>
  <si>
    <t>1050*30*20</t>
  </si>
  <si>
    <t>45*45*20</t>
  </si>
  <si>
    <t>455*70*70</t>
  </si>
  <si>
    <t>580*65*65</t>
  </si>
  <si>
    <t>735*70*70</t>
  </si>
  <si>
    <t>maychanham</t>
  </si>
  <si>
    <t>Máy chà nhám tròn</t>
  </si>
  <si>
    <t>cái</t>
  </si>
  <si>
    <t>maysac</t>
  </si>
  <si>
    <t>máy sạc</t>
  </si>
  <si>
    <t>Mkhoan100*12</t>
  </si>
  <si>
    <t>Mũi Khoan ren m9*100*12</t>
  </si>
  <si>
    <t>Mkhoan150*12</t>
  </si>
  <si>
    <t>Mũi Khoan ren m9*150*12</t>
  </si>
  <si>
    <t>nilon</t>
  </si>
  <si>
    <t>dây ni lon</t>
  </si>
  <si>
    <t>dinhf1</t>
  </si>
  <si>
    <t>đinh 10f</t>
  </si>
  <si>
    <t>dinhf15</t>
  </si>
  <si>
    <t>đinh 15f</t>
  </si>
  <si>
    <t>đinh 20f</t>
  </si>
  <si>
    <t>dinhf20</t>
  </si>
  <si>
    <t>dinhf25</t>
  </si>
  <si>
    <t>đinh 25f</t>
  </si>
  <si>
    <t>dinhf30</t>
  </si>
  <si>
    <t>đinh 30f</t>
  </si>
  <si>
    <t>đinh 35f</t>
  </si>
  <si>
    <t>dinhf35</t>
  </si>
  <si>
    <t>dinhf40</t>
  </si>
  <si>
    <t>đinh 40f</t>
  </si>
  <si>
    <t>dinhf45</t>
  </si>
  <si>
    <t>đinh 45f</t>
  </si>
  <si>
    <t>đinh 50f</t>
  </si>
  <si>
    <t>dinhf50</t>
  </si>
  <si>
    <t>dinhu1010</t>
  </si>
  <si>
    <t>dinhu1013</t>
  </si>
  <si>
    <t>đinh u1010</t>
  </si>
  <si>
    <t>đinh u1013</t>
  </si>
  <si>
    <t>PE</t>
  </si>
  <si>
    <t>Màng PE</t>
  </si>
  <si>
    <t>lcua305</t>
  </si>
  <si>
    <t>Lưỡi cưa 305*120</t>
  </si>
  <si>
    <t>lcua355</t>
  </si>
  <si>
    <t>Lưỡi cưa 355*60</t>
  </si>
  <si>
    <t>Thuoc2.6</t>
  </si>
  <si>
    <t>Thuoc3.6</t>
  </si>
  <si>
    <t>Thước 2.6</t>
  </si>
  <si>
    <t>Thước 3.6</t>
  </si>
  <si>
    <t>bottret</t>
  </si>
  <si>
    <t>Bột Trét</t>
  </si>
  <si>
    <t>Keo Sữa</t>
  </si>
  <si>
    <t>ksua</t>
  </si>
  <si>
    <t>k502</t>
  </si>
  <si>
    <t>Keo 502</t>
  </si>
  <si>
    <t>Keo Con Chó</t>
  </si>
  <si>
    <t>kcho</t>
  </si>
  <si>
    <t>xuctac</t>
  </si>
  <si>
    <t>Xúc Tác</t>
  </si>
  <si>
    <t>nhám cuộn 4*100</t>
  </si>
  <si>
    <t>nhamcuon k51.1</t>
  </si>
  <si>
    <t>nhamcuon k51.2</t>
  </si>
  <si>
    <t>nhám cuộn 4*240</t>
  </si>
  <si>
    <t>nhamcuon jb5.1</t>
  </si>
  <si>
    <t>k51*135*150</t>
  </si>
  <si>
    <t>nhamtruck51.1</t>
  </si>
  <si>
    <t>nhamtruck51.2</t>
  </si>
  <si>
    <t>Nhám Trục k51*135*150</t>
  </si>
  <si>
    <t>Nhám Trục k51*135*180</t>
  </si>
  <si>
    <t>nhamthunglon</t>
  </si>
  <si>
    <t>305*120</t>
  </si>
  <si>
    <t>355*60</t>
  </si>
  <si>
    <t>4*100</t>
  </si>
  <si>
    <t>4*240</t>
  </si>
  <si>
    <t>Nhám cuộn Jb 5*240</t>
  </si>
  <si>
    <t>jb 5*240</t>
  </si>
  <si>
    <t>k51*135*180</t>
  </si>
  <si>
    <t>Nhám thùng lớn k51*25*59*180</t>
  </si>
  <si>
    <t>Nhám thùng nhỏ k51*25*1245</t>
  </si>
  <si>
    <t>nhamthungnho</t>
  </si>
  <si>
    <t>nhambanglon1</t>
  </si>
  <si>
    <t>Nhám băng lớn 180*6300*150</t>
  </si>
  <si>
    <t>nhambanglon1.1</t>
  </si>
  <si>
    <t>Nhám băng lớn 180*6300*180</t>
  </si>
  <si>
    <t>nhambangnho2</t>
  </si>
  <si>
    <t>nhambangnho2.2</t>
  </si>
  <si>
    <t>Nhám băng nhỏ K51 2570*150</t>
  </si>
  <si>
    <t>Nhám băng nhỏ K51 2570*180</t>
  </si>
  <si>
    <t>hộp</t>
  </si>
  <si>
    <t>cuộn</t>
  </si>
  <si>
    <t>Thùng</t>
  </si>
  <si>
    <t>thùng</t>
  </si>
  <si>
    <t>chai</t>
  </si>
  <si>
    <t>Vòng</t>
  </si>
  <si>
    <t>Home</t>
  </si>
  <si>
    <t>Số phiếu
hiện tại</t>
  </si>
  <si>
    <t>Tháng</t>
  </si>
  <si>
    <t>Tên Cty</t>
  </si>
  <si>
    <t>Mã</t>
  </si>
  <si>
    <t>Tên HH</t>
  </si>
  <si>
    <t>Nhập/ Xuất</t>
  </si>
  <si>
    <t>Số lượng</t>
  </si>
  <si>
    <t>Số Chuyến</t>
  </si>
  <si>
    <t>Số xe</t>
  </si>
  <si>
    <t>Thông Tin Xuất Nhập</t>
  </si>
  <si>
    <t>Số phiếu</t>
  </si>
  <si>
    <t>CT-Hp</t>
  </si>
  <si>
    <t>TT vận chuyển</t>
  </si>
  <si>
    <t>N</t>
  </si>
  <si>
    <t>X02</t>
  </si>
  <si>
    <t>KDHP</t>
  </si>
  <si>
    <t>X</t>
  </si>
  <si>
    <t>Quy Cach</t>
  </si>
  <si>
    <t>Mả Hàng</t>
  </si>
  <si>
    <t>Tên Hàng</t>
  </si>
  <si>
    <t>Quy Cách</t>
  </si>
  <si>
    <t>Dvt</t>
  </si>
  <si>
    <t>Lượng Nhập</t>
  </si>
  <si>
    <t>Lượng Xuất</t>
  </si>
  <si>
    <t>Tồn Cuối</t>
  </si>
  <si>
    <t xml:space="preserve">Bảng Chi Tiết Xuất Nhập </t>
  </si>
  <si>
    <t>Từ Ngày</t>
  </si>
  <si>
    <t>Đến  Ngày</t>
  </si>
  <si>
    <t>ct hp</t>
  </si>
  <si>
    <t>cthp</t>
  </si>
  <si>
    <t>home</t>
  </si>
  <si>
    <t>thekho</t>
  </si>
  <si>
    <t>Đến Ngày</t>
  </si>
  <si>
    <t>TỒN DK</t>
  </si>
  <si>
    <t>Tồn Dk</t>
  </si>
  <si>
    <t>GHE HS</t>
  </si>
  <si>
    <t>CHÂN GHẾ HS</t>
  </si>
  <si>
    <t>PCS</t>
  </si>
  <si>
    <t>GHECASA</t>
  </si>
  <si>
    <t>CHÂN TRƯỚC GHẾ CASA</t>
  </si>
  <si>
    <t>VÁN GHÉP</t>
  </si>
  <si>
    <t>VANGHEP</t>
  </si>
  <si>
    <t>TẤM</t>
  </si>
  <si>
    <t>950*30*90</t>
  </si>
  <si>
    <t>Thongtrang</t>
  </si>
  <si>
    <t>44*63*75</t>
  </si>
  <si>
    <t>N-X-Mã hh</t>
  </si>
  <si>
    <t>Stt N</t>
  </si>
  <si>
    <t>65*65*1000</t>
  </si>
  <si>
    <t>65*65*1050</t>
  </si>
  <si>
    <t>65*65*950</t>
  </si>
  <si>
    <t>65*65*900</t>
  </si>
  <si>
    <t>65*65*850</t>
  </si>
  <si>
    <t>65*65*800</t>
  </si>
  <si>
    <t>65*65*750</t>
  </si>
  <si>
    <t>65*65*700</t>
  </si>
  <si>
    <t>Gỗ Xoài vuông 65.1</t>
  </si>
  <si>
    <t>Gỗ Xoài vuông 65.2</t>
  </si>
  <si>
    <t>Gỗ Xoài vuông 65.3</t>
  </si>
  <si>
    <t>Gỗ Xoài vuông 65.4</t>
  </si>
  <si>
    <t>Gỗ Xoài vuông 65.5</t>
  </si>
  <si>
    <t>Gỗ Xoài vuông 65.6</t>
  </si>
  <si>
    <t>Gỗ Xoài vuông 65.7</t>
  </si>
  <si>
    <t>Gỗ Xoài vuông 65.8</t>
  </si>
  <si>
    <t>xoai1</t>
  </si>
  <si>
    <t>xoai2</t>
  </si>
  <si>
    <t>xoai3</t>
  </si>
  <si>
    <t>xoai4</t>
  </si>
  <si>
    <t>xoai5</t>
  </si>
  <si>
    <t>xoai6</t>
  </si>
  <si>
    <t>xoai7</t>
  </si>
  <si>
    <t>xoai8</t>
  </si>
  <si>
    <t>45*100*2000</t>
  </si>
  <si>
    <t>45*70*2000</t>
  </si>
  <si>
    <t>45*110*2000</t>
  </si>
  <si>
    <t>45*120*2000</t>
  </si>
  <si>
    <t>45*80*2000</t>
  </si>
  <si>
    <t>gỗ tràm 45.1</t>
  </si>
  <si>
    <t>gỗ tràm 45.2</t>
  </si>
  <si>
    <t>gỗ tràm 45.3</t>
  </si>
  <si>
    <t>gỗ tràm 45.4</t>
  </si>
  <si>
    <t>gỗ tràm 45.5</t>
  </si>
  <si>
    <t>tram1</t>
  </si>
  <si>
    <t>tram2</t>
  </si>
  <si>
    <t>tram3</t>
  </si>
  <si>
    <t>tram4</t>
  </si>
  <si>
    <t>tram5</t>
  </si>
  <si>
    <t>gỗ thông trắng</t>
  </si>
  <si>
    <t>gỗ thông nhập</t>
  </si>
  <si>
    <t>thongn</t>
  </si>
  <si>
    <t>75*75*1000</t>
  </si>
  <si>
    <t>csu1</t>
  </si>
  <si>
    <t>gỗ cao su 1</t>
  </si>
  <si>
    <t>gỗ sồi</t>
  </si>
  <si>
    <t>soi01</t>
  </si>
  <si>
    <t>thong22</t>
  </si>
  <si>
    <t>Gỗ thông 22</t>
  </si>
  <si>
    <t>csu2</t>
  </si>
  <si>
    <t>50*50*1000</t>
  </si>
  <si>
    <t>csu3</t>
  </si>
  <si>
    <t>csu4</t>
  </si>
  <si>
    <t>csu5</t>
  </si>
  <si>
    <t>csu6</t>
  </si>
  <si>
    <t>csu7</t>
  </si>
  <si>
    <t>55*55*1100</t>
  </si>
  <si>
    <t>55*55*1000</t>
  </si>
  <si>
    <t>55*55*1050</t>
  </si>
  <si>
    <t>55*55*950</t>
  </si>
  <si>
    <t>55*55*900</t>
  </si>
  <si>
    <t>55*55*850</t>
  </si>
  <si>
    <t>gỗ cao su v50.2</t>
  </si>
  <si>
    <t>gỗ cao su v55.3</t>
  </si>
  <si>
    <t>gỗ cao su v55.4</t>
  </si>
  <si>
    <t>gỗ cao su v55.5</t>
  </si>
  <si>
    <t>gỗ cao su v55.6</t>
  </si>
  <si>
    <t>gỗ cao su v55.7</t>
  </si>
  <si>
    <t>gỗ cao su v55.8</t>
  </si>
  <si>
    <t>csu8</t>
  </si>
  <si>
    <t>Ma HH 02</t>
  </si>
  <si>
    <t>Phế liêu gỗ</t>
  </si>
  <si>
    <t>phelieu1.1</t>
  </si>
  <si>
    <t>thanh</t>
  </si>
  <si>
    <t>Từ ngày</t>
  </si>
  <si>
    <t>STT</t>
  </si>
  <si>
    <t>N/X</t>
  </si>
  <si>
    <t>NGÀY</t>
  </si>
  <si>
    <t>Số Chứng Từ</t>
  </si>
  <si>
    <t xml:space="preserve">Công ty </t>
  </si>
  <si>
    <t>Mã Chuyến</t>
  </si>
  <si>
    <t>Tài xế</t>
  </si>
  <si>
    <t>Bảng kê chi tiết</t>
  </si>
  <si>
    <t>Vận Chuyển</t>
  </si>
  <si>
    <t>Trung gian tinh ton kho</t>
  </si>
  <si>
    <t>Ngày Làm tồn kho</t>
  </si>
  <si>
    <t>Ngày Làm Thẻ Kho</t>
  </si>
  <si>
    <t>Mặt hàng</t>
  </si>
  <si>
    <t>Mã hàng</t>
  </si>
  <si>
    <t>N01</t>
  </si>
  <si>
    <t>N02</t>
  </si>
  <si>
    <t>X01</t>
  </si>
  <si>
    <t>Nhập</t>
  </si>
  <si>
    <t xml:space="preserve"> Xuất</t>
  </si>
  <si>
    <t>Công Ty TNHH Sx TM Hoàng Phát</t>
  </si>
  <si>
    <t>Đông Chiêu - Tân Đông Hiệp - Dĩ An Bình Dương</t>
  </si>
  <si>
    <t>SDT :   0650.3.730.053                       Fax: 0650.3730.053</t>
  </si>
  <si>
    <t>Tồn Kho</t>
  </si>
  <si>
    <t>Đơn Hàng</t>
  </si>
  <si>
    <t>in ấn</t>
  </si>
  <si>
    <t>Số Phiếu:</t>
  </si>
  <si>
    <t>Tên Hàng Hóa</t>
  </si>
  <si>
    <t>Thực Xuất</t>
  </si>
  <si>
    <t>Số xe:</t>
  </si>
  <si>
    <t>Ghi chú:…………………………………………………………………………./.</t>
  </si>
  <si>
    <t>Người Lập Phiếu</t>
  </si>
  <si>
    <t>Người Nhận Hàng</t>
  </si>
  <si>
    <t>Lê. T. Mai</t>
  </si>
  <si>
    <t>Thủ kho</t>
  </si>
  <si>
    <t>Bình dương, Ngày</t>
  </si>
  <si>
    <t>54 V5835(A-L)</t>
  </si>
  <si>
    <t>55 V5835(A-L)</t>
  </si>
  <si>
    <t>HP-TVN</t>
  </si>
  <si>
    <t>BE-PKBOPN</t>
  </si>
  <si>
    <t>CT-PKBOPN</t>
  </si>
  <si>
    <t>ET-PKBOPN</t>
  </si>
  <si>
    <t>ST-PKBOPN</t>
  </si>
  <si>
    <t>65*65*440</t>
  </si>
  <si>
    <t>65*65*470</t>
  </si>
  <si>
    <t>65*65*600</t>
  </si>
  <si>
    <t>65*65*740</t>
  </si>
  <si>
    <t>N001</t>
  </si>
  <si>
    <t>N002</t>
  </si>
  <si>
    <t>CHÂN BÀN GỖ THÔNG.</t>
  </si>
  <si>
    <t>CHÂN BÀN GỖ THÔNG..</t>
  </si>
  <si>
    <t>CHÂN BÀN GỖ THÔNG…</t>
  </si>
  <si>
    <t>CHÂN BÀN GỖ THÔNG….</t>
  </si>
  <si>
    <t>HP-HP</t>
  </si>
  <si>
    <t>N003</t>
  </si>
  <si>
    <t>N004</t>
  </si>
  <si>
    <t>a THIÊN</t>
  </si>
  <si>
    <t>X001</t>
  </si>
  <si>
    <t>X002</t>
  </si>
  <si>
    <t>X003</t>
  </si>
  <si>
    <t>X004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</si>
</sst>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16">
    <font>
      <sz val="12"/>
      <color theme="1"/>
      <name val="Times New Roman"/>
      <family val="2"/>
    </font>
    <font>
      <b/>
      <sz val="12"/>
      <color rgb="FFFF0000"/>
      <name val="Times New Roman"/>
      <family val="1"/>
    </font>
    <font>
      <u/>
      <sz val="12"/>
      <color theme="10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color theme="1"/>
      <name val="Times New Roman"/>
      <family val="2"/>
    </font>
    <font>
      <b/>
      <sz val="13"/>
      <color rgb="FFC00000"/>
      <name val="Times New Roman"/>
      <family val="2"/>
    </font>
    <font>
      <b/>
      <sz val="13"/>
      <color theme="1"/>
      <name val="Times New Roman"/>
      <family val="2"/>
    </font>
    <font>
      <sz val="13"/>
      <name val="Times New Roman"/>
      <family val="2"/>
    </font>
    <font>
      <sz val="8"/>
      <color indexed="81"/>
      <name val="Tahoma"/>
      <family val="2"/>
    </font>
    <font>
      <sz val="18"/>
      <color rgb="FFFF0000"/>
      <name val="Times New Roman"/>
      <family val="2"/>
    </font>
    <font>
      <sz val="18"/>
      <color theme="1"/>
      <name val="Times New Roman"/>
      <family val="2"/>
    </font>
    <font>
      <b/>
      <sz val="16"/>
      <name val="Times New Roman"/>
      <family val="1"/>
    </font>
    <font>
      <sz val="14"/>
      <color theme="1"/>
      <name val="Times New Roman"/>
      <family val="2"/>
    </font>
    <font>
      <b/>
      <sz val="8"/>
      <color indexed="81"/>
      <name val="Tahoma"/>
      <family val="2"/>
    </font>
    <font>
      <sz val="13.5"/>
      <color theme="1"/>
      <name val="Times New Roman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  <xf numFmtId="43" fontId="3" fillId="0" borderId="0" applyFont="0" applyFill="0" applyBorder="0" applyAlignment="0" applyProtection="0"/>
  </cellStyleXfs>
  <cellXfs count="7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1" applyAlignment="1" applyProtection="1">
      <alignment horizontal="center" vertical="center"/>
    </xf>
    <xf numFmtId="0" fontId="2" fillId="0" borderId="0" xfId="1" applyAlignment="1" applyProtection="1">
      <alignment horizontal="center" vertical="center" wrapText="1"/>
    </xf>
    <xf numFmtId="0" fontId="2" fillId="0" borderId="0" xfId="1" applyAlignment="1" applyProtection="1">
      <alignment horizontal="center"/>
    </xf>
    <xf numFmtId="0" fontId="5" fillId="0" borderId="0" xfId="0" applyFont="1"/>
    <xf numFmtId="0" fontId="7" fillId="0" borderId="0" xfId="0" applyFont="1" applyAlignment="1">
      <alignment horizontal="center" vertical="center"/>
    </xf>
    <xf numFmtId="0" fontId="0" fillId="0" borderId="0" xfId="0"/>
    <xf numFmtId="0" fontId="2" fillId="0" borderId="0" xfId="1" applyAlignment="1" applyProtection="1"/>
    <xf numFmtId="0" fontId="8" fillId="3" borderId="2" xfId="2" applyFont="1" applyFill="1" applyBorder="1" applyAlignment="1">
      <alignment horizontal="left"/>
    </xf>
    <xf numFmtId="0" fontId="8" fillId="3" borderId="2" xfId="3" applyFont="1" applyFill="1" applyBorder="1" applyAlignment="1">
      <alignment horizontal="left"/>
    </xf>
    <xf numFmtId="0" fontId="5" fillId="0" borderId="0" xfId="0" applyFont="1" applyAlignment="1">
      <alignment horizontal="center"/>
    </xf>
    <xf numFmtId="0" fontId="5" fillId="3" borderId="2" xfId="2" applyFont="1" applyFill="1" applyBorder="1" applyAlignment="1">
      <alignment horizontal="left"/>
    </xf>
    <xf numFmtId="0" fontId="5" fillId="0" borderId="2" xfId="0" applyFont="1" applyBorder="1"/>
    <xf numFmtId="0" fontId="8" fillId="3" borderId="1" xfId="2" applyFont="1" applyFill="1" applyBorder="1" applyAlignment="1">
      <alignment horizontal="left"/>
    </xf>
    <xf numFmtId="0" fontId="8" fillId="3" borderId="1" xfId="3" applyFont="1" applyFill="1" applyBorder="1" applyAlignment="1">
      <alignment horizontal="left"/>
    </xf>
    <xf numFmtId="0" fontId="8" fillId="3" borderId="1" xfId="2" applyNumberFormat="1" applyFont="1" applyFill="1" applyBorder="1" applyAlignment="1">
      <alignment horizontal="left"/>
    </xf>
    <xf numFmtId="0" fontId="8" fillId="3" borderId="3" xfId="2" applyFont="1" applyFill="1" applyBorder="1" applyAlignment="1">
      <alignment horizontal="left"/>
    </xf>
    <xf numFmtId="0" fontId="8" fillId="3" borderId="3" xfId="2" applyNumberFormat="1" applyFont="1" applyFill="1" applyBorder="1" applyAlignment="1">
      <alignment horizontal="left"/>
    </xf>
    <xf numFmtId="0" fontId="5" fillId="3" borderId="1" xfId="2" applyFont="1" applyFill="1" applyBorder="1" applyAlignment="1">
      <alignment horizontal="left"/>
    </xf>
    <xf numFmtId="0" fontId="5" fillId="4" borderId="0" xfId="0" applyFont="1" applyFill="1"/>
    <xf numFmtId="0" fontId="5" fillId="4" borderId="0" xfId="0" applyFont="1" applyFill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4" borderId="0" xfId="0" applyFill="1"/>
    <xf numFmtId="0" fontId="0" fillId="0" borderId="4" xfId="0" applyBorder="1" applyAlignment="1">
      <alignment horizontal="center"/>
    </xf>
    <xf numFmtId="14" fontId="0" fillId="0" borderId="0" xfId="0" applyNumberFormat="1"/>
    <xf numFmtId="0" fontId="0" fillId="0" borderId="0" xfId="0" applyFill="1" applyBorder="1"/>
    <xf numFmtId="0" fontId="5" fillId="0" borderId="0" xfId="0" applyFont="1" applyAlignment="1">
      <alignment wrapText="1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4" fillId="0" borderId="0" xfId="0" applyFont="1"/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5" borderId="0" xfId="0" applyFill="1"/>
    <xf numFmtId="0" fontId="0" fillId="0" borderId="0" xfId="0" applyAlignment="1">
      <alignment horizontal="center"/>
    </xf>
    <xf numFmtId="0" fontId="0" fillId="6" borderId="0" xfId="0" applyFill="1"/>
    <xf numFmtId="0" fontId="10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/>
    <xf numFmtId="0" fontId="13" fillId="0" borderId="0" xfId="0" applyFont="1" applyAlignment="1">
      <alignment horizontal="left"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horizontal="center"/>
    </xf>
    <xf numFmtId="0" fontId="12" fillId="2" borderId="0" xfId="0" applyFont="1" applyFill="1" applyAlignment="1">
      <alignment horizontal="center" wrapText="1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5" fillId="0" borderId="0" xfId="0" applyFont="1" applyAlignment="1">
      <alignment horizontal="left" vertical="center"/>
    </xf>
  </cellXfs>
  <cellStyles count="5">
    <cellStyle name="Comma 2" xfId="4"/>
    <cellStyle name="Hyperlink" xfId="1" builtinId="8"/>
    <cellStyle name="Normal" xfId="0" builtinId="0"/>
    <cellStyle name="Normal 2" xfId="2"/>
    <cellStyle name="Normal 2 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8</xdr:row>
      <xdr:rowOff>133350</xdr:rowOff>
    </xdr:from>
    <xdr:to>
      <xdr:col>4</xdr:col>
      <xdr:colOff>1457326</xdr:colOff>
      <xdr:row>21</xdr:row>
      <xdr:rowOff>76200</xdr:rowOff>
    </xdr:to>
    <xdr:pic>
      <xdr:nvPicPr>
        <xdr:cNvPr id="2" name="Picture 1" descr="Winter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1752600"/>
          <a:ext cx="3276600" cy="2543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"/>
  <sheetViews>
    <sheetView topLeftCell="A3" workbookViewId="0">
      <selection activeCell="E8" sqref="E8"/>
    </sheetView>
  </sheetViews>
  <sheetFormatPr defaultRowHeight="15.75"/>
  <cols>
    <col min="1" max="1" width="13.25" customWidth="1"/>
    <col min="2" max="2" width="0.75" customWidth="1"/>
    <col min="3" max="3" width="9" customWidth="1"/>
    <col min="4" max="4" width="0.875" customWidth="1"/>
    <col min="5" max="5" width="19.25" customWidth="1"/>
    <col min="6" max="6" width="0" hidden="1" customWidth="1"/>
    <col min="7" max="7" width="8.875" customWidth="1"/>
    <col min="8" max="8" width="0" hidden="1" customWidth="1"/>
  </cols>
  <sheetData>
    <row r="1" spans="1:6" hidden="1"/>
    <row r="2" spans="1:6" hidden="1"/>
    <row r="3" spans="1:6" ht="26.25" customHeight="1">
      <c r="A3" s="50" t="s">
        <v>0</v>
      </c>
      <c r="B3" s="50"/>
      <c r="C3" s="50"/>
      <c r="D3" s="50"/>
      <c r="E3" s="50"/>
      <c r="F3" s="1"/>
    </row>
    <row r="4" spans="1:6">
      <c r="A4" s="2" t="s">
        <v>1</v>
      </c>
      <c r="C4" s="2" t="s">
        <v>2</v>
      </c>
      <c r="E4" s="2" t="s">
        <v>6</v>
      </c>
    </row>
    <row r="5" spans="1:6">
      <c r="A5" s="2">
        <f ca="1">DAY(TODAY())</f>
        <v>1</v>
      </c>
      <c r="B5" s="2"/>
      <c r="C5" s="2">
        <f ca="1">MONTH(TODAY())</f>
        <v>1</v>
      </c>
      <c r="E5" s="2">
        <f ca="1">YEAR(TODAY())</f>
        <v>2004</v>
      </c>
      <c r="F5" s="2"/>
    </row>
    <row r="6" spans="1:6" ht="1.5" customHeight="1">
      <c r="A6" s="2"/>
      <c r="B6" s="2"/>
      <c r="C6" s="2"/>
      <c r="E6" s="2"/>
      <c r="F6" s="2"/>
    </row>
    <row r="7" spans="1:6" ht="31.5">
      <c r="A7" s="4" t="s">
        <v>3</v>
      </c>
      <c r="B7" s="3"/>
      <c r="C7" s="4" t="s">
        <v>4</v>
      </c>
      <c r="D7" s="3"/>
      <c r="E7" s="5" t="s">
        <v>5</v>
      </c>
      <c r="F7" s="2"/>
    </row>
    <row r="8" spans="1:6">
      <c r="A8" s="2"/>
      <c r="B8" s="2"/>
      <c r="C8" s="6" t="s">
        <v>7</v>
      </c>
      <c r="D8" s="2"/>
      <c r="E8" s="6" t="s">
        <v>306</v>
      </c>
      <c r="F8" s="2"/>
    </row>
  </sheetData>
  <mergeCells count="1">
    <mergeCell ref="A3:E3"/>
  </mergeCells>
  <hyperlinks>
    <hyperlink ref="A7" location="nhapdulieu!A1" display="Nhập Dữ Liệu"/>
    <hyperlink ref="C7" location="tonkho!A1" display="Tồn Ngày"/>
    <hyperlink ref="E7" location="danhmuc!A1" display="danhmuc!A1"/>
    <hyperlink ref="C8" location="thekho!A1" display="Thẻ kho"/>
    <hyperlink ref="E8" location="'in an'!A1" display="in ấn"/>
  </hyperlink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S69"/>
  <sheetViews>
    <sheetView topLeftCell="F6" workbookViewId="0">
      <selection activeCell="J23" sqref="J23:J26"/>
    </sheetView>
  </sheetViews>
  <sheetFormatPr defaultRowHeight="15.75"/>
  <cols>
    <col min="1" max="1" width="2.75" style="9" hidden="1" customWidth="1"/>
    <col min="2" max="2" width="1.875" style="9" hidden="1" customWidth="1"/>
    <col min="3" max="3" width="3.5" style="9" hidden="1" customWidth="1"/>
    <col min="4" max="4" width="5.25" style="9" hidden="1" customWidth="1"/>
    <col min="5" max="5" width="3.875" hidden="1" customWidth="1"/>
    <col min="6" max="6" width="4.25" style="9" customWidth="1"/>
    <col min="7" max="8" width="4.375" customWidth="1"/>
    <col min="9" max="9" width="10.125" customWidth="1"/>
    <col min="10" max="10" width="10.375" style="9" customWidth="1"/>
    <col min="11" max="11" width="12.125" customWidth="1"/>
    <col min="12" max="12" width="19.5" customWidth="1"/>
    <col min="13" max="13" width="22" customWidth="1"/>
    <col min="14" max="14" width="17.125" customWidth="1"/>
    <col min="15" max="15" width="7.75" style="9" customWidth="1"/>
    <col min="16" max="17" width="10.375" customWidth="1"/>
    <col min="18" max="18" width="12.75" customWidth="1"/>
  </cols>
  <sheetData>
    <row r="1" spans="1:18" s="9" customFormat="1"/>
    <row r="2" spans="1:18" s="9" customFormat="1"/>
    <row r="3" spans="1:18" s="9" customFormat="1">
      <c r="M3"/>
    </row>
    <row r="6" spans="1:18">
      <c r="G6" s="10" t="s">
        <v>158</v>
      </c>
      <c r="I6" s="52" t="s">
        <v>293</v>
      </c>
      <c r="J6" s="52"/>
      <c r="K6" s="9" t="s">
        <v>295</v>
      </c>
      <c r="L6" s="9" t="s">
        <v>294</v>
      </c>
    </row>
    <row r="7" spans="1:18">
      <c r="I7" s="9" t="s">
        <v>281</v>
      </c>
      <c r="J7" s="27">
        <f>thekho!E8</f>
        <v>41641</v>
      </c>
      <c r="K7" s="9" t="str">
        <f>thekho!C10</f>
        <v>HH-T027NL</v>
      </c>
      <c r="L7" s="9" t="str">
        <f>thekho!D11</f>
        <v>chân 743 tròn</v>
      </c>
    </row>
    <row r="8" spans="1:18" ht="15.75" customHeight="1">
      <c r="G8" s="53" t="s">
        <v>159</v>
      </c>
      <c r="H8" s="54"/>
      <c r="I8" s="9" t="s">
        <v>191</v>
      </c>
      <c r="J8" s="27">
        <f>thekho!E9</f>
        <v>41761</v>
      </c>
      <c r="M8" s="9"/>
    </row>
    <row r="9" spans="1:18">
      <c r="G9" s="53"/>
      <c r="H9" s="54"/>
      <c r="I9" s="52" t="s">
        <v>292</v>
      </c>
      <c r="J9" s="52"/>
      <c r="M9" s="9"/>
    </row>
    <row r="10" spans="1:18">
      <c r="A10" s="9" t="str">
        <f>'in an'!G6</f>
        <v>X001</v>
      </c>
      <c r="E10" s="9"/>
      <c r="G10" s="53"/>
      <c r="H10" s="54"/>
      <c r="I10" s="9" t="s">
        <v>185</v>
      </c>
      <c r="J10" s="27">
        <v>41641</v>
      </c>
      <c r="M10" s="9"/>
    </row>
    <row r="11" spans="1:18" s="9" customFormat="1">
      <c r="G11" s="55"/>
      <c r="H11" s="56"/>
      <c r="I11" s="9" t="s">
        <v>191</v>
      </c>
      <c r="J11" s="27">
        <v>41822</v>
      </c>
      <c r="M11"/>
      <c r="N11" s="9" t="str">
        <f>IF(O11="","",VLOOKUP(O11,danhmuc!E1:I75,5,0))</f>
        <v/>
      </c>
    </row>
    <row r="13" spans="1:18" ht="15.75" customHeight="1">
      <c r="G13" s="57" t="s">
        <v>168</v>
      </c>
      <c r="H13" s="58"/>
      <c r="I13" s="58"/>
      <c r="J13" s="58"/>
      <c r="K13" s="58"/>
      <c r="L13" s="58"/>
      <c r="M13" s="58"/>
      <c r="N13" s="58"/>
      <c r="O13" s="59"/>
      <c r="P13" s="33"/>
      <c r="Q13" s="51" t="s">
        <v>171</v>
      </c>
      <c r="R13" s="51"/>
    </row>
    <row r="14" spans="1:18">
      <c r="A14" s="40"/>
      <c r="B14" s="40"/>
      <c r="C14" s="38" t="s">
        <v>291</v>
      </c>
      <c r="D14" s="25" t="s">
        <v>206</v>
      </c>
      <c r="E14" s="25" t="s">
        <v>205</v>
      </c>
      <c r="F14" s="9" t="s">
        <v>282</v>
      </c>
      <c r="G14" s="24" t="s">
        <v>1</v>
      </c>
      <c r="H14" s="24" t="s">
        <v>160</v>
      </c>
      <c r="I14" s="24" t="s">
        <v>6</v>
      </c>
      <c r="J14" s="24" t="s">
        <v>169</v>
      </c>
      <c r="K14" s="24" t="s">
        <v>161</v>
      </c>
      <c r="L14" s="24" t="s">
        <v>162</v>
      </c>
      <c r="M14" s="24" t="s">
        <v>163</v>
      </c>
      <c r="N14" s="24" t="s">
        <v>176</v>
      </c>
      <c r="O14" s="24" t="s">
        <v>164</v>
      </c>
      <c r="P14" s="24" t="s">
        <v>165</v>
      </c>
      <c r="Q14" s="24" t="s">
        <v>166</v>
      </c>
      <c r="R14" s="24" t="s">
        <v>167</v>
      </c>
    </row>
    <row r="15" spans="1:18">
      <c r="A15" s="9" t="str">
        <f>IF(J15=$A$10,1+MAX($A$14:A14),"")</f>
        <v/>
      </c>
      <c r="B15" s="9" t="str">
        <f>IF(L15="","",IF(AND(DATE(I15,H15,G15)&gt;=$J$10,DATE(I15,H15,G15)&lt;=$J$11,L15=$K$7),1+MAX($B$14:B14),""))</f>
        <v/>
      </c>
      <c r="C15" s="9" t="str">
        <f t="shared" ref="C15:C27" si="0">IF(L15="","",IF(DATE(I15,H15,G15)&gt;$J$10,O15&amp;L15,""))</f>
        <v>NBO90*20</v>
      </c>
      <c r="D15" s="9">
        <f>IF(E15="","",1+MAX($D$14,D14))</f>
        <v>1</v>
      </c>
      <c r="E15" t="str">
        <f t="shared" ref="E15:E27" si="1">IF(L15="","",IF(AND(DATE(I15,H15,G15)&gt;=$J$10,DATE(I15,H15,G15)&lt;=$J$11),O15&amp;L15,""))</f>
        <v>NBO90*20</v>
      </c>
      <c r="F15" s="9">
        <f>IF(M15="","",1+MAX($F$14,F14))</f>
        <v>1</v>
      </c>
      <c r="G15">
        <v>1</v>
      </c>
      <c r="H15">
        <v>2</v>
      </c>
      <c r="I15">
        <v>2014</v>
      </c>
      <c r="J15" s="9" t="s">
        <v>296</v>
      </c>
      <c r="K15" s="9" t="s">
        <v>170</v>
      </c>
      <c r="L15" s="9" t="str">
        <f>IF(M15="","",VLOOKUP(M15,danhmuc!$C$5:$G$200,5,0))</f>
        <v>BO90*20</v>
      </c>
      <c r="M15" s="9" t="s">
        <v>35</v>
      </c>
      <c r="N15" s="39" t="str">
        <f>IF(M15="","",VLOOKUP(M15,danhmuc!$C$5:$G$122,2,0))</f>
        <v>90*20*70</v>
      </c>
      <c r="O15" s="9" t="s">
        <v>172</v>
      </c>
      <c r="P15">
        <v>200</v>
      </c>
      <c r="Q15">
        <v>1</v>
      </c>
      <c r="R15" s="9" t="s">
        <v>317</v>
      </c>
    </row>
    <row r="16" spans="1:18">
      <c r="A16" s="9" t="str">
        <f>IF(J16=$A$10,1+MAX($A$14:A15),"")</f>
        <v/>
      </c>
      <c r="B16" s="9" t="str">
        <f>IF(L16="","",IF(AND(DATE(I16,H16,G16)&gt;=$J$10,DATE(I16,H16,G16)&lt;=$J$11,L16=$K$7),1+MAX($B$14:B15),""))</f>
        <v/>
      </c>
      <c r="C16" s="9" t="str">
        <f t="shared" si="0"/>
        <v>XBÀN HS wh</v>
      </c>
      <c r="D16" s="9">
        <f t="shared" ref="D16:D17" si="2">IF(E16="","",1+MAX($D$14,D15))</f>
        <v>2</v>
      </c>
      <c r="E16" s="9" t="str">
        <f t="shared" si="1"/>
        <v>XBÀN HS wh</v>
      </c>
      <c r="F16" s="9">
        <f t="shared" ref="F16:F27" si="3">IF(M16="","",1+MAX($F$14,F15))</f>
        <v>2</v>
      </c>
      <c r="G16">
        <v>2</v>
      </c>
      <c r="H16">
        <v>2</v>
      </c>
      <c r="I16">
        <v>2014</v>
      </c>
      <c r="J16" s="9" t="s">
        <v>298</v>
      </c>
      <c r="K16" s="9" t="s">
        <v>174</v>
      </c>
      <c r="L16" s="9" t="str">
        <f>IF(M16="","",VLOOKUP(M16,danhmuc!$C$5:$G$200,5,0))</f>
        <v>BÀN HS wh</v>
      </c>
      <c r="M16" s="9" t="s">
        <v>17</v>
      </c>
      <c r="N16" s="39">
        <f>IF(M16="","",VLOOKUP(M16,danhmuc!$C$5:$G$122,2,0))</f>
        <v>0</v>
      </c>
      <c r="O16" s="9" t="s">
        <v>175</v>
      </c>
      <c r="P16">
        <v>100</v>
      </c>
      <c r="Q16">
        <v>1</v>
      </c>
      <c r="R16" s="9" t="s">
        <v>318</v>
      </c>
    </row>
    <row r="17" spans="1:18">
      <c r="A17" s="9" t="str">
        <f>IF(J17=$A$10,1+MAX($A$14:A16),"")</f>
        <v/>
      </c>
      <c r="B17" s="9" t="str">
        <f>IF(L17="","",IF(AND(DATE(I17,H17,G17)&gt;=$J$10,DATE(I17,H17,G17)&lt;=$J$11,L17=$K$7),1+MAX($B$14:B16),""))</f>
        <v/>
      </c>
      <c r="C17" s="9" t="str">
        <f t="shared" si="0"/>
        <v>NGHE HS</v>
      </c>
      <c r="D17" s="9">
        <f t="shared" si="2"/>
        <v>3</v>
      </c>
      <c r="E17" s="9" t="str">
        <f t="shared" si="1"/>
        <v>NGHE HS</v>
      </c>
      <c r="F17" s="9">
        <f t="shared" si="3"/>
        <v>3</v>
      </c>
      <c r="G17">
        <v>3</v>
      </c>
      <c r="H17">
        <v>2</v>
      </c>
      <c r="I17">
        <v>2014</v>
      </c>
      <c r="J17" s="28" t="s">
        <v>297</v>
      </c>
      <c r="K17" s="28" t="s">
        <v>187</v>
      </c>
      <c r="L17" s="9" t="str">
        <f>IF(M17="","",VLOOKUP(M17,danhmuc!$C$5:$G$200,5,0))</f>
        <v>GHE HS</v>
      </c>
      <c r="M17" s="9" t="s">
        <v>195</v>
      </c>
      <c r="N17" s="39">
        <f>IF(M17="","",VLOOKUP(M17,danhmuc!$C$5:$G$122,2,0))</f>
        <v>0</v>
      </c>
      <c r="O17" s="28" t="s">
        <v>172</v>
      </c>
      <c r="P17">
        <v>100</v>
      </c>
    </row>
    <row r="18" spans="1:18">
      <c r="A18" s="9" t="str">
        <f>IF(J18=$A$10,1+MAX($A$14:A17),"")</f>
        <v/>
      </c>
      <c r="B18" s="9" t="str">
        <f>IF(L18="","",IF(AND(DATE(I18,H18,G18)&gt;=$J$10,DATE(I18,H18,G18)&lt;=$J$11,L18=$K$7),1+MAX($B$14:B17),""))</f>
        <v/>
      </c>
      <c r="C18" s="9" t="str">
        <f t="shared" si="0"/>
        <v>XHH-#2217T N/3</v>
      </c>
      <c r="D18" s="9">
        <f>IF(E18="","",1+MAX($D$14,D17))</f>
        <v>4</v>
      </c>
      <c r="E18" s="9" t="str">
        <f t="shared" si="1"/>
        <v>XHH-#2217T N/3</v>
      </c>
      <c r="F18" s="9">
        <f t="shared" si="3"/>
        <v>4</v>
      </c>
      <c r="G18">
        <v>7</v>
      </c>
      <c r="H18">
        <v>2</v>
      </c>
      <c r="I18">
        <v>2014</v>
      </c>
      <c r="J18" s="28" t="s">
        <v>173</v>
      </c>
      <c r="K18" s="28" t="s">
        <v>188</v>
      </c>
      <c r="L18" s="9" t="str">
        <f>IF(M18="","",VLOOKUP(M18,danhmuc!$C$5:$G$200,5,0))</f>
        <v>HH-#2217T N/3</v>
      </c>
      <c r="M18" s="9" t="s">
        <v>23</v>
      </c>
      <c r="N18" s="39">
        <f>IF(M18="","",VLOOKUP(M18,danhmuc!$C$5:$G$122,2,0))</f>
        <v>0</v>
      </c>
      <c r="O18" s="28" t="s">
        <v>175</v>
      </c>
      <c r="P18">
        <v>20</v>
      </c>
    </row>
    <row r="19" spans="1:18">
      <c r="A19" s="9" t="str">
        <f>IF(J19=$A$10,1+MAX($A$14:A18),"")</f>
        <v/>
      </c>
      <c r="B19" s="9" t="str">
        <f>IF(L19="","",IF(AND(DATE(I19,H19,G19)&gt;=$J$10,DATE(I19,H19,G19)&lt;=$J$11,L19=$K$7),1+MAX($B$14:B18),""))</f>
        <v/>
      </c>
      <c r="C19" s="9" t="str">
        <f t="shared" si="0"/>
        <v>NBE-PKBOPN</v>
      </c>
      <c r="E19" s="9" t="str">
        <f t="shared" si="1"/>
        <v/>
      </c>
      <c r="F19" s="9">
        <f t="shared" si="3"/>
        <v>5</v>
      </c>
      <c r="G19">
        <v>3</v>
      </c>
      <c r="H19" s="9">
        <v>11</v>
      </c>
      <c r="I19">
        <v>2014</v>
      </c>
      <c r="J19" s="28" t="s">
        <v>328</v>
      </c>
      <c r="K19" s="28" t="s">
        <v>334</v>
      </c>
      <c r="L19" s="9" t="str">
        <f>IF(M19="","",VLOOKUP(M19,danhmuc!$C$5:$G$200,5,0))</f>
        <v>BE-PKBOPN</v>
      </c>
      <c r="M19" s="9" t="s">
        <v>330</v>
      </c>
      <c r="N19" s="39" t="str">
        <f>IF(M19="","",VLOOKUP(M19,danhmuc!$C$5:$G$122,2,0))</f>
        <v>65*65*440</v>
      </c>
      <c r="O19" s="28" t="s">
        <v>172</v>
      </c>
      <c r="P19">
        <v>144</v>
      </c>
    </row>
    <row r="20" spans="1:18">
      <c r="A20" s="9" t="str">
        <f>IF(J20=$A$10,1+MAX($A$14:A19),"")</f>
        <v/>
      </c>
      <c r="B20" s="9" t="str">
        <f>IF(L20="","",IF(AND(DATE(I20,H20,G20)&gt;=$J$10,DATE(I20,H20,G20)&lt;=$J$11,L20=$K$7),1+MAX($B$14:B19),""))</f>
        <v/>
      </c>
      <c r="C20" s="9" t="str">
        <f t="shared" si="0"/>
        <v>NCT-PKBOPN</v>
      </c>
      <c r="E20" s="9" t="str">
        <f t="shared" si="1"/>
        <v/>
      </c>
      <c r="F20" s="9">
        <f t="shared" si="3"/>
        <v>6</v>
      </c>
      <c r="G20">
        <v>3</v>
      </c>
      <c r="H20" s="9">
        <v>11</v>
      </c>
      <c r="I20">
        <v>2014</v>
      </c>
      <c r="J20" s="28" t="s">
        <v>329</v>
      </c>
      <c r="K20" s="28" t="s">
        <v>334</v>
      </c>
      <c r="L20" s="9" t="str">
        <f>IF(M20="","",VLOOKUP(M20,danhmuc!$C$5:$G$200,5,0))</f>
        <v>CT-PKBOPN</v>
      </c>
      <c r="M20" s="9" t="s">
        <v>331</v>
      </c>
      <c r="N20" s="39" t="str">
        <f>IF(M20="","",VLOOKUP(M20,danhmuc!$C$5:$G$122,2,0))</f>
        <v>65*65*470</v>
      </c>
      <c r="O20" s="28" t="s">
        <v>172</v>
      </c>
      <c r="P20">
        <v>312</v>
      </c>
    </row>
    <row r="21" spans="1:18">
      <c r="A21" s="9" t="str">
        <f>IF(J21=$A$10,1+MAX($A$14:A20),"")</f>
        <v/>
      </c>
      <c r="B21" s="9" t="str">
        <f>IF(L21="","",IF(AND(DATE(I21,H21,G21)&gt;=$J$10,DATE(I21,H21,G21)&lt;=$J$11,L21=$K$7),1+MAX($B$14:B20),""))</f>
        <v/>
      </c>
      <c r="C21" s="9" t="str">
        <f t="shared" si="0"/>
        <v>NET-PKBOPN</v>
      </c>
      <c r="E21" s="9" t="str">
        <f t="shared" si="1"/>
        <v/>
      </c>
      <c r="F21" s="9">
        <f t="shared" si="3"/>
        <v>7</v>
      </c>
      <c r="G21" s="9">
        <v>3</v>
      </c>
      <c r="H21" s="9">
        <v>11</v>
      </c>
      <c r="I21" s="9">
        <v>2014</v>
      </c>
      <c r="J21" s="28" t="s">
        <v>335</v>
      </c>
      <c r="K21" s="28" t="s">
        <v>334</v>
      </c>
      <c r="L21" s="9" t="str">
        <f>IF(M21="","",VLOOKUP(M21,danhmuc!$C$5:$G$200,5,0))</f>
        <v>ET-PKBOPN</v>
      </c>
      <c r="M21" s="9" t="s">
        <v>332</v>
      </c>
      <c r="N21" s="39" t="str">
        <f>IF(M21="","",VLOOKUP(M21,danhmuc!$C$5:$G$122,2,0))</f>
        <v>65*65*600</v>
      </c>
      <c r="O21" s="28" t="s">
        <v>172</v>
      </c>
      <c r="P21">
        <v>920</v>
      </c>
    </row>
    <row r="22" spans="1:18">
      <c r="A22" s="9" t="str">
        <f>IF(J22=$A$10,1+MAX($A$14:A21),"")</f>
        <v/>
      </c>
      <c r="B22" s="9" t="str">
        <f>IF(L22="","",IF(AND(DATE(I22,H22,G22)&gt;=$J$10,DATE(I22,H22,G22)&lt;=$J$11,L22=$K$7),1+MAX($B$14:B21),""))</f>
        <v/>
      </c>
      <c r="C22" s="9" t="str">
        <f t="shared" si="0"/>
        <v>NST-PKBOPN</v>
      </c>
      <c r="E22" s="9" t="str">
        <f t="shared" si="1"/>
        <v/>
      </c>
      <c r="F22" s="9">
        <f t="shared" si="3"/>
        <v>8</v>
      </c>
      <c r="G22" s="9">
        <v>3</v>
      </c>
      <c r="H22" s="9">
        <v>11</v>
      </c>
      <c r="I22" s="9">
        <v>2014</v>
      </c>
      <c r="J22" s="28" t="s">
        <v>336</v>
      </c>
      <c r="K22" s="28" t="s">
        <v>334</v>
      </c>
      <c r="L22" s="9" t="str">
        <f>IF(M22="","",VLOOKUP(M22,danhmuc!$C$5:$G$200,5,0))</f>
        <v>ST-PKBOPN</v>
      </c>
      <c r="M22" s="9" t="s">
        <v>333</v>
      </c>
      <c r="N22" s="39" t="str">
        <f>IF(M22="","",VLOOKUP(M22,danhmuc!$C$5:$G$122,2,0))</f>
        <v>65*65*740</v>
      </c>
      <c r="O22" s="28" t="s">
        <v>172</v>
      </c>
      <c r="P22">
        <v>84</v>
      </c>
    </row>
    <row r="23" spans="1:18">
      <c r="A23" s="9">
        <f>IF(J23=$A$10,1+MAX($A$14:A22),"")</f>
        <v>1</v>
      </c>
      <c r="B23" s="9" t="str">
        <f>IF(L23="","",IF(AND(DATE(I23,H23,G23)&gt;=$J$10,DATE(I23,H23,G23)&lt;=$J$11,L23=$K$7),1+MAX($B$14:B22),""))</f>
        <v/>
      </c>
      <c r="C23" s="9" t="str">
        <f t="shared" si="0"/>
        <v>XBE-PKBOPN</v>
      </c>
      <c r="E23" s="9" t="str">
        <f t="shared" si="1"/>
        <v/>
      </c>
      <c r="F23" s="9">
        <f t="shared" si="3"/>
        <v>9</v>
      </c>
      <c r="G23" s="9">
        <v>3</v>
      </c>
      <c r="H23" s="9">
        <v>11</v>
      </c>
      <c r="I23" s="9">
        <v>2014</v>
      </c>
      <c r="J23" s="28" t="s">
        <v>338</v>
      </c>
      <c r="K23" s="28" t="s">
        <v>319</v>
      </c>
      <c r="L23" s="9" t="str">
        <f>IF(M23="","",VLOOKUP(M23,danhmuc!$C$5:$G$200,5,0))</f>
        <v>BE-PKBOPN</v>
      </c>
      <c r="M23" s="9" t="s">
        <v>330</v>
      </c>
      <c r="N23" s="39" t="str">
        <f>IF(M23="","",VLOOKUP(M23,danhmuc!$C$5:$G$122,2,0))</f>
        <v>65*65*440</v>
      </c>
      <c r="O23" s="28" t="s">
        <v>175</v>
      </c>
      <c r="P23" s="9">
        <v>144</v>
      </c>
      <c r="R23" s="9" t="s">
        <v>337</v>
      </c>
    </row>
    <row r="24" spans="1:18">
      <c r="A24" s="9" t="str">
        <f>IF(J24=$A$10,1+MAX($A$14:A23),"")</f>
        <v/>
      </c>
      <c r="B24" s="9" t="str">
        <f>IF(L24="","",IF(AND(DATE(I24,H24,G24)&gt;=$J$10,DATE(I24,H24,G24)&lt;=$J$11,L24=$K$7),1+MAX($B$14:B23),""))</f>
        <v/>
      </c>
      <c r="C24" s="9" t="str">
        <f t="shared" si="0"/>
        <v>XCT-PKBOPN</v>
      </c>
      <c r="E24" s="9" t="str">
        <f t="shared" si="1"/>
        <v/>
      </c>
      <c r="F24" s="9">
        <f t="shared" si="3"/>
        <v>10</v>
      </c>
      <c r="G24" s="9">
        <v>3</v>
      </c>
      <c r="H24" s="9">
        <v>11</v>
      </c>
      <c r="I24" s="9">
        <v>2014</v>
      </c>
      <c r="J24" s="28" t="s">
        <v>339</v>
      </c>
      <c r="K24" s="28" t="s">
        <v>319</v>
      </c>
      <c r="L24" s="9" t="str">
        <f>IF(M24="","",VLOOKUP(M24,danhmuc!$C$5:$G$200,5,0))</f>
        <v>CT-PKBOPN</v>
      </c>
      <c r="M24" s="9" t="s">
        <v>331</v>
      </c>
      <c r="N24" s="39" t="str">
        <f>IF(M24="","",VLOOKUP(M24,danhmuc!$C$5:$G$122,2,0))</f>
        <v>65*65*470</v>
      </c>
      <c r="O24" s="28" t="s">
        <v>175</v>
      </c>
      <c r="P24" s="9">
        <v>312</v>
      </c>
    </row>
    <row r="25" spans="1:18">
      <c r="A25" s="9" t="str">
        <f>IF(J25=$A$10,1+MAX($A$14:A24),"")</f>
        <v/>
      </c>
      <c r="B25" s="9" t="str">
        <f>IF(L25="","",IF(AND(DATE(I25,H25,G25)&gt;=$J$10,DATE(I25,H25,G25)&lt;=$J$11,L25=$K$7),1+MAX($B$14:B24),""))</f>
        <v/>
      </c>
      <c r="C25" s="9" t="str">
        <f t="shared" si="0"/>
        <v>XET-PKBOPN</v>
      </c>
      <c r="E25" s="9" t="str">
        <f t="shared" si="1"/>
        <v/>
      </c>
      <c r="F25" s="9">
        <f t="shared" si="3"/>
        <v>11</v>
      </c>
      <c r="G25" s="9">
        <v>3</v>
      </c>
      <c r="H25" s="9">
        <v>11</v>
      </c>
      <c r="I25" s="9">
        <v>2014</v>
      </c>
      <c r="J25" s="28" t="s">
        <v>340</v>
      </c>
      <c r="K25" s="28" t="s">
        <v>319</v>
      </c>
      <c r="L25" s="9" t="str">
        <f>IF(M25="","",VLOOKUP(M25,danhmuc!$C$5:$G$200,5,0))</f>
        <v>ET-PKBOPN</v>
      </c>
      <c r="M25" s="9" t="s">
        <v>332</v>
      </c>
      <c r="N25" s="39" t="str">
        <f>IF(M25="","",VLOOKUP(M25,danhmuc!$C$5:$G$122,2,0))</f>
        <v>65*65*600</v>
      </c>
      <c r="O25" s="28" t="s">
        <v>175</v>
      </c>
      <c r="P25" s="9">
        <v>920</v>
      </c>
    </row>
    <row r="26" spans="1:18">
      <c r="A26" s="9" t="str">
        <f>IF(J26=$A$10,1+MAX($A$14:A25),"")</f>
        <v/>
      </c>
      <c r="B26" s="9" t="str">
        <f>IF(L26="","",IF(AND(DATE(I26,H26,G26)&gt;=$J$10,DATE(I26,H26,G26)&lt;=$J$11,L26=$K$7),1+MAX($B$14:B25),""))</f>
        <v/>
      </c>
      <c r="C26" s="9" t="str">
        <f t="shared" si="0"/>
        <v>XST-PKBOPN</v>
      </c>
      <c r="E26" s="9" t="str">
        <f t="shared" si="1"/>
        <v/>
      </c>
      <c r="F26" s="9">
        <f t="shared" si="3"/>
        <v>12</v>
      </c>
      <c r="G26" s="9">
        <v>3</v>
      </c>
      <c r="H26" s="9">
        <v>11</v>
      </c>
      <c r="I26" s="9">
        <v>2014</v>
      </c>
      <c r="J26" s="28" t="s">
        <v>341</v>
      </c>
      <c r="K26" s="28" t="s">
        <v>319</v>
      </c>
      <c r="L26" s="9" t="str">
        <f>IF(M26="","",VLOOKUP(M26,danhmuc!$C$5:$G$200,5,0))</f>
        <v>ST-PKBOPN</v>
      </c>
      <c r="M26" s="9" t="s">
        <v>333</v>
      </c>
      <c r="N26" s="39" t="str">
        <f>IF(M26="","",VLOOKUP(M26,danhmuc!$C$5:$G$122,2,0))</f>
        <v>65*65*740</v>
      </c>
      <c r="O26" s="28" t="s">
        <v>175</v>
      </c>
      <c r="P26" s="9">
        <v>84</v>
      </c>
    </row>
    <row r="27" spans="1:18">
      <c r="A27" s="9" t="str">
        <f>IF(J27=$A$10,1+MAX($A$14:A26),"")</f>
        <v/>
      </c>
      <c r="B27" s="9" t="str">
        <f>IF(L27="","",IF(AND(DATE(I27,H27,G27)&gt;=$J$10,DATE(I27,H27,G27)&lt;=$J$11,L27=$K$7),1+MAX($B$14:B26),""))</f>
        <v/>
      </c>
      <c r="C27" s="9" t="str">
        <f t="shared" si="0"/>
        <v/>
      </c>
      <c r="E27" s="9" t="str">
        <f t="shared" si="1"/>
        <v/>
      </c>
      <c r="F27" s="9" t="str">
        <f t="shared" si="3"/>
        <v/>
      </c>
      <c r="L27" s="9" t="str">
        <f>IF(M27="","",VLOOKUP(M27,danhmuc!$C$5:$G$200,5,0))</f>
        <v/>
      </c>
      <c r="M27" s="9"/>
      <c r="N27" s="39" t="str">
        <f>IF(M27="","",VLOOKUP(M27,danhmuc!$C$5:$G$122,2,0))</f>
        <v/>
      </c>
    </row>
    <row r="28" spans="1:18" s="9" customFormat="1">
      <c r="A28" s="9" t="str">
        <f>IF(J28=$A$10,1+MAX($A$14:A27),"")</f>
        <v/>
      </c>
      <c r="B28" s="9" t="str">
        <f>IF(L28="","",IF(AND(DATE(I28,H28,G28)&gt;=$J$10,DATE(I28,H28,G28)&lt;=$J$11,L28=$K$7),1+MAX($B$14:B27),""))</f>
        <v/>
      </c>
      <c r="C28" s="9" t="str">
        <f t="shared" ref="C28:C67" si="4">IF(L28="","",IF(DATE(I28,H28,G28)&gt;$J$10,O28&amp;L28,""))</f>
        <v/>
      </c>
      <c r="E28" s="9" t="str">
        <f t="shared" ref="E28:E67" si="5">IF(L28="","",IF(AND(DATE(I28,H28,G28)&gt;=$J$10,DATE(I28,H28,G28)&lt;=$J$11),O28&amp;L28,""))</f>
        <v/>
      </c>
      <c r="F28" s="9" t="str">
        <f t="shared" ref="F28:F67" si="6">IF(M28="","",1+MAX($F$14,F27))</f>
        <v/>
      </c>
      <c r="L28" s="9" t="str">
        <f>IF(M28="","",VLOOKUP(M28,danhmuc!$C$5:$G$200,5,0))</f>
        <v/>
      </c>
      <c r="N28" s="49" t="str">
        <f>IF(M28="","",VLOOKUP(M28,danhmuc!$C$5:$G$122,2,0))</f>
        <v/>
      </c>
    </row>
    <row r="29" spans="1:18" s="9" customFormat="1">
      <c r="A29" s="9" t="str">
        <f>IF(J29=$A$10,1+MAX($A$14:A28),"")</f>
        <v/>
      </c>
      <c r="B29" s="9" t="str">
        <f>IF(L29="","",IF(AND(DATE(I29,H29,G29)&gt;=$J$10,DATE(I29,H29,G29)&lt;=$J$11,L29=$K$7),1+MAX($B$14:B28),""))</f>
        <v/>
      </c>
      <c r="C29" s="9" t="str">
        <f t="shared" si="4"/>
        <v/>
      </c>
      <c r="E29" s="9" t="str">
        <f t="shared" si="5"/>
        <v/>
      </c>
      <c r="F29" s="9" t="str">
        <f t="shared" si="6"/>
        <v/>
      </c>
      <c r="L29" s="9" t="str">
        <f>IF(M29="","",VLOOKUP(M29,danhmuc!$C$5:$G$200,5,0))</f>
        <v/>
      </c>
      <c r="N29" s="49" t="str">
        <f>IF(M29="","",VLOOKUP(M29,danhmuc!$C$5:$G$122,2,0))</f>
        <v/>
      </c>
    </row>
    <row r="30" spans="1:18" s="9" customFormat="1">
      <c r="A30" s="9" t="str">
        <f>IF(J30=$A$10,1+MAX($A$14:A29),"")</f>
        <v/>
      </c>
      <c r="B30" s="9" t="str">
        <f>IF(L30="","",IF(AND(DATE(I30,H30,G30)&gt;=$J$10,DATE(I30,H30,G30)&lt;=$J$11,L30=$K$7),1+MAX($B$14:B29),""))</f>
        <v/>
      </c>
      <c r="C30" s="9" t="str">
        <f t="shared" si="4"/>
        <v/>
      </c>
      <c r="E30" s="9" t="str">
        <f t="shared" si="5"/>
        <v/>
      </c>
      <c r="F30" s="9" t="str">
        <f t="shared" si="6"/>
        <v/>
      </c>
      <c r="L30" s="9" t="str">
        <f>IF(M30="","",VLOOKUP(M30,danhmuc!$C$5:$G$200,5,0))</f>
        <v/>
      </c>
      <c r="N30" s="49" t="str">
        <f>IF(M30="","",VLOOKUP(M30,danhmuc!$C$5:$G$122,2,0))</f>
        <v/>
      </c>
    </row>
    <row r="31" spans="1:18" s="9" customFormat="1">
      <c r="A31" s="9" t="str">
        <f>IF(J31=$A$10,1+MAX($A$14:A30),"")</f>
        <v/>
      </c>
      <c r="B31" s="9" t="str">
        <f>IF(L31="","",IF(AND(DATE(I31,H31,G31)&gt;=$J$10,DATE(I31,H31,G31)&lt;=$J$11,L31=$K$7),1+MAX($B$14:B30),""))</f>
        <v/>
      </c>
      <c r="C31" s="9" t="str">
        <f t="shared" si="4"/>
        <v/>
      </c>
      <c r="E31" s="9" t="str">
        <f t="shared" si="5"/>
        <v/>
      </c>
      <c r="F31" s="9" t="str">
        <f t="shared" si="6"/>
        <v/>
      </c>
      <c r="L31" s="9" t="str">
        <f>IF(M31="","",VLOOKUP(M31,danhmuc!$C$5:$G$200,5,0))</f>
        <v/>
      </c>
      <c r="N31" s="49" t="str">
        <f>IF(M31="","",VLOOKUP(M31,danhmuc!$C$5:$G$122,2,0))</f>
        <v/>
      </c>
    </row>
    <row r="32" spans="1:18" s="9" customFormat="1">
      <c r="A32" s="9" t="str">
        <f>IF(J32=$A$10,1+MAX($A$14:A31),"")</f>
        <v/>
      </c>
      <c r="B32" s="9" t="str">
        <f>IF(L32="","",IF(AND(DATE(I32,H32,G32)&gt;=$J$10,DATE(I32,H32,G32)&lt;=$J$11,L32=$K$7),1+MAX($B$14:B31),""))</f>
        <v/>
      </c>
      <c r="C32" s="9" t="str">
        <f t="shared" si="4"/>
        <v/>
      </c>
      <c r="E32" s="9" t="str">
        <f t="shared" si="5"/>
        <v/>
      </c>
      <c r="F32" s="9" t="str">
        <f t="shared" si="6"/>
        <v/>
      </c>
      <c r="L32" s="9" t="str">
        <f>IF(M32="","",VLOOKUP(M32,danhmuc!$C$5:$G$200,5,0))</f>
        <v/>
      </c>
      <c r="N32" s="49" t="str">
        <f>IF(M32="","",VLOOKUP(M32,danhmuc!$C$5:$G$122,2,0))</f>
        <v/>
      </c>
    </row>
    <row r="33" spans="1:14" s="9" customFormat="1">
      <c r="A33" s="9" t="str">
        <f>IF(J33=$A$10,1+MAX($A$14:A32),"")</f>
        <v/>
      </c>
      <c r="B33" s="9" t="str">
        <f>IF(L33="","",IF(AND(DATE(I33,H33,G33)&gt;=$J$10,DATE(I33,H33,G33)&lt;=$J$11,L33=$K$7),1+MAX($B$14:B32),""))</f>
        <v/>
      </c>
      <c r="C33" s="9" t="str">
        <f t="shared" si="4"/>
        <v/>
      </c>
      <c r="E33" s="9" t="str">
        <f t="shared" si="5"/>
        <v/>
      </c>
      <c r="F33" s="9" t="str">
        <f t="shared" si="6"/>
        <v/>
      </c>
      <c r="L33" s="9" t="str">
        <f>IF(M33="","",VLOOKUP(M33,danhmuc!$C$5:$G$200,5,0))</f>
        <v/>
      </c>
      <c r="N33" s="49" t="str">
        <f>IF(M33="","",VLOOKUP(M33,danhmuc!$C$5:$G$122,2,0))</f>
        <v/>
      </c>
    </row>
    <row r="34" spans="1:14" s="9" customFormat="1">
      <c r="A34" s="9" t="str">
        <f>IF(J34=$A$10,1+MAX($A$14:A33),"")</f>
        <v/>
      </c>
      <c r="B34" s="9" t="str">
        <f>IF(L34="","",IF(AND(DATE(I34,H34,G34)&gt;=$J$10,DATE(I34,H34,G34)&lt;=$J$11,L34=$K$7),1+MAX($B$14:B33),""))</f>
        <v/>
      </c>
      <c r="C34" s="9" t="str">
        <f t="shared" si="4"/>
        <v/>
      </c>
      <c r="E34" s="9" t="str">
        <f t="shared" si="5"/>
        <v/>
      </c>
      <c r="F34" s="9" t="str">
        <f t="shared" si="6"/>
        <v/>
      </c>
      <c r="L34" s="9" t="str">
        <f>IF(M34="","",VLOOKUP(M34,danhmuc!$C$5:$G$200,5,0))</f>
        <v/>
      </c>
      <c r="N34" s="49" t="str">
        <f>IF(M34="","",VLOOKUP(M34,danhmuc!$C$5:$G$122,2,0))</f>
        <v/>
      </c>
    </row>
    <row r="35" spans="1:14" s="9" customFormat="1">
      <c r="A35" s="9" t="str">
        <f>IF(J35=$A$10,1+MAX($A$14:A34),"")</f>
        <v/>
      </c>
      <c r="B35" s="9" t="str">
        <f>IF(L35="","",IF(AND(DATE(I35,H35,G35)&gt;=$J$10,DATE(I35,H35,G35)&lt;=$J$11,L35=$K$7),1+MAX($B$14:B34),""))</f>
        <v/>
      </c>
      <c r="C35" s="9" t="str">
        <f t="shared" si="4"/>
        <v/>
      </c>
      <c r="E35" s="9" t="str">
        <f t="shared" si="5"/>
        <v/>
      </c>
      <c r="F35" s="9" t="str">
        <f t="shared" si="6"/>
        <v/>
      </c>
      <c r="L35" s="9" t="str">
        <f>IF(M35="","",VLOOKUP(M35,danhmuc!$C$5:$G$200,5,0))</f>
        <v/>
      </c>
      <c r="N35" s="49" t="str">
        <f>IF(M35="","",VLOOKUP(M35,danhmuc!$C$5:$G$122,2,0))</f>
        <v/>
      </c>
    </row>
    <row r="36" spans="1:14" s="9" customFormat="1">
      <c r="A36" s="9" t="str">
        <f>IF(J36=$A$10,1+MAX($A$14:A35),"")</f>
        <v/>
      </c>
      <c r="B36" s="9" t="str">
        <f>IF(L36="","",IF(AND(DATE(I36,H36,G36)&gt;=$J$10,DATE(I36,H36,G36)&lt;=$J$11,L36=$K$7),1+MAX($B$14:B35),""))</f>
        <v/>
      </c>
      <c r="C36" s="9" t="str">
        <f t="shared" si="4"/>
        <v/>
      </c>
      <c r="E36" s="9" t="str">
        <f t="shared" si="5"/>
        <v/>
      </c>
      <c r="F36" s="9" t="str">
        <f t="shared" si="6"/>
        <v/>
      </c>
      <c r="L36" s="9" t="str">
        <f>IF(M36="","",VLOOKUP(M36,danhmuc!$C$5:$G$200,5,0))</f>
        <v/>
      </c>
      <c r="N36" s="49" t="str">
        <f>IF(M36="","",VLOOKUP(M36,danhmuc!$C$5:$G$122,2,0))</f>
        <v/>
      </c>
    </row>
    <row r="37" spans="1:14" s="9" customFormat="1">
      <c r="A37" s="9" t="str">
        <f>IF(J37=$A$10,1+MAX($A$14:A36),"")</f>
        <v/>
      </c>
      <c r="B37" s="9" t="str">
        <f>IF(L37="","",IF(AND(DATE(I37,H37,G37)&gt;=$J$10,DATE(I37,H37,G37)&lt;=$J$11,L37=$K$7),1+MAX($B$14:B36),""))</f>
        <v/>
      </c>
      <c r="C37" s="9" t="str">
        <f t="shared" si="4"/>
        <v/>
      </c>
      <c r="E37" s="9" t="str">
        <f t="shared" si="5"/>
        <v/>
      </c>
      <c r="F37" s="9" t="str">
        <f t="shared" si="6"/>
        <v/>
      </c>
      <c r="L37" s="9" t="str">
        <f>IF(M37="","",VLOOKUP(M37,danhmuc!$C$5:$G$200,5,0))</f>
        <v/>
      </c>
      <c r="N37" s="49" t="str">
        <f>IF(M37="","",VLOOKUP(M37,danhmuc!$C$5:$G$122,2,0))</f>
        <v/>
      </c>
    </row>
    <row r="38" spans="1:14" s="9" customFormat="1">
      <c r="A38" s="9" t="str">
        <f>IF(J38=$A$10,1+MAX($A$14:A37),"")</f>
        <v/>
      </c>
      <c r="B38" s="9" t="str">
        <f>IF(L38="","",IF(AND(DATE(I38,H38,G38)&gt;=$J$10,DATE(I38,H38,G38)&lt;=$J$11,L38=$K$7),1+MAX($B$14:B37),""))</f>
        <v/>
      </c>
      <c r="C38" s="9" t="str">
        <f t="shared" si="4"/>
        <v/>
      </c>
      <c r="E38" s="9" t="str">
        <f t="shared" si="5"/>
        <v/>
      </c>
      <c r="F38" s="9" t="str">
        <f t="shared" si="6"/>
        <v/>
      </c>
      <c r="L38" s="9" t="str">
        <f>IF(M38="","",VLOOKUP(M38,danhmuc!$C$5:$G$200,5,0))</f>
        <v/>
      </c>
      <c r="N38" s="49" t="str">
        <f>IF(M38="","",VLOOKUP(M38,danhmuc!$C$5:$G$122,2,0))</f>
        <v/>
      </c>
    </row>
    <row r="39" spans="1:14" s="9" customFormat="1">
      <c r="A39" s="9" t="str">
        <f>IF(J39=$A$10,1+MAX($A$14:A38),"")</f>
        <v/>
      </c>
      <c r="B39" s="9" t="str">
        <f>IF(L39="","",IF(AND(DATE(I39,H39,G39)&gt;=$J$10,DATE(I39,H39,G39)&lt;=$J$11,L39=$K$7),1+MAX($B$14:B38),""))</f>
        <v/>
      </c>
      <c r="C39" s="9" t="str">
        <f t="shared" si="4"/>
        <v/>
      </c>
      <c r="E39" s="9" t="str">
        <f t="shared" si="5"/>
        <v/>
      </c>
      <c r="F39" s="9" t="str">
        <f t="shared" si="6"/>
        <v/>
      </c>
      <c r="L39" s="9" t="str">
        <f>IF(M39="","",VLOOKUP(M39,danhmuc!$C$5:$G$200,5,0))</f>
        <v/>
      </c>
      <c r="N39" s="49" t="str">
        <f>IF(M39="","",VLOOKUP(M39,danhmuc!$C$5:$G$122,2,0))</f>
        <v/>
      </c>
    </row>
    <row r="40" spans="1:14" s="9" customFormat="1">
      <c r="A40" s="9" t="str">
        <f>IF(J40=$A$10,1+MAX($A$14:A39),"")</f>
        <v/>
      </c>
      <c r="B40" s="9" t="str">
        <f>IF(L40="","",IF(AND(DATE(I40,H40,G40)&gt;=$J$10,DATE(I40,H40,G40)&lt;=$J$11,L40=$K$7),1+MAX($B$14:B39),""))</f>
        <v/>
      </c>
      <c r="C40" s="9" t="str">
        <f t="shared" si="4"/>
        <v/>
      </c>
      <c r="E40" s="9" t="str">
        <f t="shared" si="5"/>
        <v/>
      </c>
      <c r="F40" s="9" t="str">
        <f t="shared" si="6"/>
        <v/>
      </c>
      <c r="L40" s="9" t="str">
        <f>IF(M40="","",VLOOKUP(M40,danhmuc!$C$5:$G$200,5,0))</f>
        <v/>
      </c>
      <c r="N40" s="49" t="str">
        <f>IF(M40="","",VLOOKUP(M40,danhmuc!$C$5:$G$122,2,0))</f>
        <v/>
      </c>
    </row>
    <row r="41" spans="1:14" s="9" customFormat="1">
      <c r="A41" s="9" t="str">
        <f>IF(J41=$A$10,1+MAX($A$14:A40),"")</f>
        <v/>
      </c>
      <c r="B41" s="9" t="str">
        <f>IF(L41="","",IF(AND(DATE(I41,H41,G41)&gt;=$J$10,DATE(I41,H41,G41)&lt;=$J$11,L41=$K$7),1+MAX($B$14:B40),""))</f>
        <v/>
      </c>
      <c r="C41" s="9" t="str">
        <f t="shared" si="4"/>
        <v/>
      </c>
      <c r="E41" s="9" t="str">
        <f t="shared" si="5"/>
        <v/>
      </c>
      <c r="F41" s="9" t="str">
        <f t="shared" si="6"/>
        <v/>
      </c>
      <c r="L41" s="9" t="str">
        <f>IF(M41="","",VLOOKUP(M41,danhmuc!$C$5:$G$200,5,0))</f>
        <v/>
      </c>
      <c r="N41" s="49" t="str">
        <f>IF(M41="","",VLOOKUP(M41,danhmuc!$C$5:$G$122,2,0))</f>
        <v/>
      </c>
    </row>
    <row r="42" spans="1:14" s="9" customFormat="1">
      <c r="A42" s="9" t="str">
        <f>IF(J42=$A$10,1+MAX($A$14:A41),"")</f>
        <v/>
      </c>
      <c r="B42" s="9" t="str">
        <f>IF(L42="","",IF(AND(DATE(I42,H42,G42)&gt;=$J$10,DATE(I42,H42,G42)&lt;=$J$11,L42=$K$7),1+MAX($B$14:B41),""))</f>
        <v/>
      </c>
      <c r="C42" s="9" t="str">
        <f t="shared" si="4"/>
        <v/>
      </c>
      <c r="E42" s="9" t="str">
        <f t="shared" si="5"/>
        <v/>
      </c>
      <c r="F42" s="9" t="str">
        <f t="shared" si="6"/>
        <v/>
      </c>
      <c r="L42" s="9" t="str">
        <f>IF(M42="","",VLOOKUP(M42,danhmuc!$C$5:$G$200,5,0))</f>
        <v/>
      </c>
      <c r="N42" s="49" t="str">
        <f>IF(M42="","",VLOOKUP(M42,danhmuc!$C$5:$G$122,2,0))</f>
        <v/>
      </c>
    </row>
    <row r="43" spans="1:14" s="9" customFormat="1">
      <c r="A43" s="9" t="str">
        <f>IF(J43=$A$10,1+MAX($A$14:A42),"")</f>
        <v/>
      </c>
      <c r="B43" s="9" t="str">
        <f>IF(L43="","",IF(AND(DATE(I43,H43,G43)&gt;=$J$10,DATE(I43,H43,G43)&lt;=$J$11,L43=$K$7),1+MAX($B$14:B42),""))</f>
        <v/>
      </c>
      <c r="C43" s="9" t="str">
        <f t="shared" si="4"/>
        <v/>
      </c>
      <c r="E43" s="9" t="str">
        <f t="shared" si="5"/>
        <v/>
      </c>
      <c r="F43" s="9" t="str">
        <f t="shared" si="6"/>
        <v/>
      </c>
      <c r="L43" s="9" t="str">
        <f>IF(M43="","",VLOOKUP(M43,danhmuc!$C$5:$G$200,5,0))</f>
        <v/>
      </c>
      <c r="N43" s="49" t="str">
        <f>IF(M43="","",VLOOKUP(M43,danhmuc!$C$5:$G$122,2,0))</f>
        <v/>
      </c>
    </row>
    <row r="44" spans="1:14" s="9" customFormat="1">
      <c r="A44" s="9" t="str">
        <f>IF(J44=$A$10,1+MAX($A$14:A43),"")</f>
        <v/>
      </c>
      <c r="B44" s="9" t="str">
        <f>IF(L44="","",IF(AND(DATE(I44,H44,G44)&gt;=$J$10,DATE(I44,H44,G44)&lt;=$J$11,L44=$K$7),1+MAX($B$14:B43),""))</f>
        <v/>
      </c>
      <c r="C44" s="9" t="str">
        <f t="shared" si="4"/>
        <v/>
      </c>
      <c r="E44" s="9" t="str">
        <f t="shared" si="5"/>
        <v/>
      </c>
      <c r="F44" s="9" t="str">
        <f t="shared" si="6"/>
        <v/>
      </c>
      <c r="L44" s="9" t="str">
        <f>IF(M44="","",VLOOKUP(M44,danhmuc!$C$5:$G$200,5,0))</f>
        <v/>
      </c>
      <c r="N44" s="49" t="str">
        <f>IF(M44="","",VLOOKUP(M44,danhmuc!$C$5:$G$122,2,0))</f>
        <v/>
      </c>
    </row>
    <row r="45" spans="1:14" s="9" customFormat="1">
      <c r="A45" s="9" t="str">
        <f>IF(J45=$A$10,1+MAX($A$14:A44),"")</f>
        <v/>
      </c>
      <c r="B45" s="9" t="str">
        <f>IF(L45="","",IF(AND(DATE(I45,H45,G45)&gt;=$J$10,DATE(I45,H45,G45)&lt;=$J$11,L45=$K$7),1+MAX($B$14:B44),""))</f>
        <v/>
      </c>
      <c r="C45" s="9" t="str">
        <f t="shared" si="4"/>
        <v/>
      </c>
      <c r="E45" s="9" t="str">
        <f t="shared" si="5"/>
        <v/>
      </c>
      <c r="F45" s="9" t="str">
        <f t="shared" si="6"/>
        <v/>
      </c>
      <c r="L45" s="9" t="str">
        <f>IF(M45="","",VLOOKUP(M45,danhmuc!$C$5:$G$200,5,0))</f>
        <v/>
      </c>
      <c r="N45" s="49" t="str">
        <f>IF(M45="","",VLOOKUP(M45,danhmuc!$C$5:$G$122,2,0))</f>
        <v/>
      </c>
    </row>
    <row r="46" spans="1:14" s="9" customFormat="1">
      <c r="A46" s="9" t="str">
        <f>IF(J46=$A$10,1+MAX($A$14:A45),"")</f>
        <v/>
      </c>
      <c r="B46" s="9" t="str">
        <f>IF(L46="","",IF(AND(DATE(I46,H46,G46)&gt;=$J$10,DATE(I46,H46,G46)&lt;=$J$11,L46=$K$7),1+MAX($B$14:B45),""))</f>
        <v/>
      </c>
      <c r="C46" s="9" t="str">
        <f t="shared" si="4"/>
        <v/>
      </c>
      <c r="E46" s="9" t="str">
        <f t="shared" si="5"/>
        <v/>
      </c>
      <c r="F46" s="9" t="str">
        <f t="shared" si="6"/>
        <v/>
      </c>
      <c r="L46" s="9" t="str">
        <f>IF(M46="","",VLOOKUP(M46,danhmuc!$C$5:$G$200,5,0))</f>
        <v/>
      </c>
      <c r="N46" s="49" t="str">
        <f>IF(M46="","",VLOOKUP(M46,danhmuc!$C$5:$G$122,2,0))</f>
        <v/>
      </c>
    </row>
    <row r="47" spans="1:14" s="9" customFormat="1">
      <c r="A47" s="9" t="str">
        <f>IF(J47=$A$10,1+MAX($A$14:A46),"")</f>
        <v/>
      </c>
      <c r="B47" s="9" t="str">
        <f>IF(L47="","",IF(AND(DATE(I47,H47,G47)&gt;=$J$10,DATE(I47,H47,G47)&lt;=$J$11,L47=$K$7),1+MAX($B$14:B46),""))</f>
        <v/>
      </c>
      <c r="C47" s="9" t="str">
        <f t="shared" si="4"/>
        <v/>
      </c>
      <c r="E47" s="9" t="str">
        <f t="shared" si="5"/>
        <v/>
      </c>
      <c r="F47" s="9" t="str">
        <f t="shared" si="6"/>
        <v/>
      </c>
      <c r="L47" s="9" t="str">
        <f>IF(M47="","",VLOOKUP(M47,danhmuc!$C$5:$G$200,5,0))</f>
        <v/>
      </c>
      <c r="N47" s="49" t="str">
        <f>IF(M47="","",VLOOKUP(M47,danhmuc!$C$5:$G$122,2,0))</f>
        <v/>
      </c>
    </row>
    <row r="48" spans="1:14" s="9" customFormat="1">
      <c r="A48" s="9" t="str">
        <f>IF(J48=$A$10,1+MAX($A$14:A47),"")</f>
        <v/>
      </c>
      <c r="B48" s="9" t="str">
        <f>IF(L48="","",IF(AND(DATE(I48,H48,G48)&gt;=$J$10,DATE(I48,H48,G48)&lt;=$J$11,L48=$K$7),1+MAX($B$14:B47),""))</f>
        <v/>
      </c>
      <c r="C48" s="9" t="str">
        <f t="shared" si="4"/>
        <v/>
      </c>
      <c r="E48" s="9" t="str">
        <f t="shared" si="5"/>
        <v/>
      </c>
      <c r="F48" s="9" t="str">
        <f t="shared" si="6"/>
        <v/>
      </c>
      <c r="L48" s="9" t="str">
        <f>IF(M48="","",VLOOKUP(M48,danhmuc!$C$5:$G$200,5,0))</f>
        <v/>
      </c>
      <c r="N48" s="49" t="str">
        <f>IF(M48="","",VLOOKUP(M48,danhmuc!$C$5:$G$122,2,0))</f>
        <v/>
      </c>
    </row>
    <row r="49" spans="1:14" s="9" customFormat="1">
      <c r="A49" s="9" t="str">
        <f>IF(J49=$A$10,1+MAX($A$14:A48),"")</f>
        <v/>
      </c>
      <c r="B49" s="9" t="str">
        <f>IF(L49="","",IF(AND(DATE(I49,H49,G49)&gt;=$J$10,DATE(I49,H49,G49)&lt;=$J$11,L49=$K$7),1+MAX($B$14:B48),""))</f>
        <v/>
      </c>
      <c r="C49" s="9" t="str">
        <f t="shared" si="4"/>
        <v/>
      </c>
      <c r="E49" s="9" t="str">
        <f t="shared" si="5"/>
        <v/>
      </c>
      <c r="F49" s="9" t="str">
        <f t="shared" si="6"/>
        <v/>
      </c>
      <c r="L49" s="9" t="str">
        <f>IF(M49="","",VLOOKUP(M49,danhmuc!$C$5:$G$200,5,0))</f>
        <v/>
      </c>
      <c r="N49" s="49" t="str">
        <f>IF(M49="","",VLOOKUP(M49,danhmuc!$C$5:$G$122,2,0))</f>
        <v/>
      </c>
    </row>
    <row r="50" spans="1:14" s="9" customFormat="1">
      <c r="A50" s="9" t="str">
        <f>IF(J50=$A$10,1+MAX($A$14:A49),"")</f>
        <v/>
      </c>
      <c r="B50" s="9" t="str">
        <f>IF(L50="","",IF(AND(DATE(I50,H50,G50)&gt;=$J$10,DATE(I50,H50,G50)&lt;=$J$11,L50=$K$7),1+MAX($B$14:B49),""))</f>
        <v/>
      </c>
      <c r="C50" s="9" t="str">
        <f t="shared" si="4"/>
        <v/>
      </c>
      <c r="E50" s="9" t="str">
        <f t="shared" si="5"/>
        <v/>
      </c>
      <c r="F50" s="9" t="str">
        <f t="shared" si="6"/>
        <v/>
      </c>
      <c r="L50" s="9" t="str">
        <f>IF(M50="","",VLOOKUP(M50,danhmuc!$C$5:$G$200,5,0))</f>
        <v/>
      </c>
      <c r="N50" s="49" t="str">
        <f>IF(M50="","",VLOOKUP(M50,danhmuc!$C$5:$G$122,2,0))</f>
        <v/>
      </c>
    </row>
    <row r="51" spans="1:14" s="9" customFormat="1">
      <c r="A51" s="9" t="str">
        <f>IF(J51=$A$10,1+MAX($A$14:A50),"")</f>
        <v/>
      </c>
      <c r="B51" s="9" t="str">
        <f>IF(L51="","",IF(AND(DATE(I51,H51,G51)&gt;=$J$10,DATE(I51,H51,G51)&lt;=$J$11,L51=$K$7),1+MAX($B$14:B50),""))</f>
        <v/>
      </c>
      <c r="C51" s="9" t="str">
        <f t="shared" si="4"/>
        <v/>
      </c>
      <c r="E51" s="9" t="str">
        <f t="shared" si="5"/>
        <v/>
      </c>
      <c r="F51" s="9" t="str">
        <f t="shared" si="6"/>
        <v/>
      </c>
      <c r="L51" s="9" t="str">
        <f>IF(M51="","",VLOOKUP(M51,danhmuc!$C$5:$G$200,5,0))</f>
        <v/>
      </c>
      <c r="N51" s="49" t="str">
        <f>IF(M51="","",VLOOKUP(M51,danhmuc!$C$5:$G$122,2,0))</f>
        <v/>
      </c>
    </row>
    <row r="52" spans="1:14" s="9" customFormat="1">
      <c r="A52" s="9" t="str">
        <f>IF(J52=$A$10,1+MAX($A$14:A51),"")</f>
        <v/>
      </c>
      <c r="B52" s="9" t="str">
        <f>IF(L52="","",IF(AND(DATE(I52,H52,G52)&gt;=$J$10,DATE(I52,H52,G52)&lt;=$J$11,L52=$K$7),1+MAX($B$14:B51),""))</f>
        <v/>
      </c>
      <c r="C52" s="9" t="str">
        <f t="shared" si="4"/>
        <v/>
      </c>
      <c r="E52" s="9" t="str">
        <f t="shared" si="5"/>
        <v/>
      </c>
      <c r="F52" s="9" t="str">
        <f t="shared" si="6"/>
        <v/>
      </c>
      <c r="L52" s="9" t="str">
        <f>IF(M52="","",VLOOKUP(M52,danhmuc!$C$5:$G$200,5,0))</f>
        <v/>
      </c>
      <c r="N52" s="49" t="str">
        <f>IF(M52="","",VLOOKUP(M52,danhmuc!$C$5:$G$122,2,0))</f>
        <v/>
      </c>
    </row>
    <row r="53" spans="1:14" s="9" customFormat="1">
      <c r="A53" s="9" t="str">
        <f>IF(J53=$A$10,1+MAX($A$14:A52),"")</f>
        <v/>
      </c>
      <c r="B53" s="9" t="str">
        <f>IF(L53="","",IF(AND(DATE(I53,H53,G53)&gt;=$J$10,DATE(I53,H53,G53)&lt;=$J$11,L53=$K$7),1+MAX($B$14:B52),""))</f>
        <v/>
      </c>
      <c r="C53" s="9" t="str">
        <f t="shared" si="4"/>
        <v/>
      </c>
      <c r="E53" s="9" t="str">
        <f t="shared" si="5"/>
        <v/>
      </c>
      <c r="F53" s="9" t="str">
        <f t="shared" si="6"/>
        <v/>
      </c>
      <c r="L53" s="9" t="str">
        <f>IF(M53="","",VLOOKUP(M53,danhmuc!$C$5:$G$200,5,0))</f>
        <v/>
      </c>
      <c r="N53" s="49" t="str">
        <f>IF(M53="","",VLOOKUP(M53,danhmuc!$C$5:$G$122,2,0))</f>
        <v/>
      </c>
    </row>
    <row r="54" spans="1:14" s="9" customFormat="1">
      <c r="A54" s="9" t="str">
        <f>IF(J54=$A$10,1+MAX($A$14:A53),"")</f>
        <v/>
      </c>
      <c r="B54" s="9" t="str">
        <f>IF(L54="","",IF(AND(DATE(I54,H54,G54)&gt;=$J$10,DATE(I54,H54,G54)&lt;=$J$11,L54=$K$7),1+MAX($B$14:B53),""))</f>
        <v/>
      </c>
      <c r="C54" s="9" t="str">
        <f t="shared" si="4"/>
        <v/>
      </c>
      <c r="E54" s="9" t="str">
        <f t="shared" si="5"/>
        <v/>
      </c>
      <c r="F54" s="9" t="str">
        <f t="shared" si="6"/>
        <v/>
      </c>
      <c r="L54" s="9" t="str">
        <f>IF(M54="","",VLOOKUP(M54,danhmuc!$C$5:$G$200,5,0))</f>
        <v/>
      </c>
      <c r="N54" s="49" t="str">
        <f>IF(M54="","",VLOOKUP(M54,danhmuc!$C$5:$G$122,2,0))</f>
        <v/>
      </c>
    </row>
    <row r="55" spans="1:14" s="9" customFormat="1">
      <c r="A55" s="9" t="str">
        <f>IF(J55=$A$10,1+MAX($A$14:A54),"")</f>
        <v/>
      </c>
      <c r="B55" s="9" t="str">
        <f>IF(L55="","",IF(AND(DATE(I55,H55,G55)&gt;=$J$10,DATE(I55,H55,G55)&lt;=$J$11,L55=$K$7),1+MAX($B$14:B54),""))</f>
        <v/>
      </c>
      <c r="C55" s="9" t="str">
        <f t="shared" si="4"/>
        <v/>
      </c>
      <c r="E55" s="9" t="str">
        <f t="shared" si="5"/>
        <v/>
      </c>
      <c r="F55" s="9" t="str">
        <f t="shared" si="6"/>
        <v/>
      </c>
      <c r="L55" s="9" t="str">
        <f>IF(M55="","",VLOOKUP(M55,danhmuc!$C$5:$G$200,5,0))</f>
        <v/>
      </c>
      <c r="N55" s="49" t="str">
        <f>IF(M55="","",VLOOKUP(M55,danhmuc!$C$5:$G$122,2,0))</f>
        <v/>
      </c>
    </row>
    <row r="56" spans="1:14" s="9" customFormat="1">
      <c r="A56" s="9" t="str">
        <f>IF(J56=$A$10,1+MAX($A$14:A55),"")</f>
        <v/>
      </c>
      <c r="B56" s="9" t="str">
        <f>IF(L56="","",IF(AND(DATE(I56,H56,G56)&gt;=$J$10,DATE(I56,H56,G56)&lt;=$J$11,L56=$K$7),1+MAX($B$14:B55),""))</f>
        <v/>
      </c>
      <c r="C56" s="9" t="str">
        <f t="shared" si="4"/>
        <v/>
      </c>
      <c r="E56" s="9" t="str">
        <f t="shared" si="5"/>
        <v/>
      </c>
      <c r="F56" s="9" t="str">
        <f t="shared" si="6"/>
        <v/>
      </c>
      <c r="L56" s="9" t="str">
        <f>IF(M56="","",VLOOKUP(M56,danhmuc!$C$5:$G$200,5,0))</f>
        <v/>
      </c>
      <c r="N56" s="49" t="str">
        <f>IF(M56="","",VLOOKUP(M56,danhmuc!$C$5:$G$122,2,0))</f>
        <v/>
      </c>
    </row>
    <row r="57" spans="1:14" s="9" customFormat="1">
      <c r="A57" s="9" t="str">
        <f>IF(J57=$A$10,1+MAX($A$14:A56),"")</f>
        <v/>
      </c>
      <c r="B57" s="9" t="str">
        <f>IF(L57="","",IF(AND(DATE(I57,H57,G57)&gt;=$J$10,DATE(I57,H57,G57)&lt;=$J$11,L57=$K$7),1+MAX($B$14:B56),""))</f>
        <v/>
      </c>
      <c r="C57" s="9" t="str">
        <f t="shared" si="4"/>
        <v/>
      </c>
      <c r="E57" s="9" t="str">
        <f t="shared" si="5"/>
        <v/>
      </c>
      <c r="F57" s="9" t="str">
        <f t="shared" si="6"/>
        <v/>
      </c>
      <c r="L57" s="9" t="str">
        <f>IF(M57="","",VLOOKUP(M57,danhmuc!$C$5:$G$200,5,0))</f>
        <v/>
      </c>
      <c r="N57" s="49" t="str">
        <f>IF(M57="","",VLOOKUP(M57,danhmuc!$C$5:$G$122,2,0))</f>
        <v/>
      </c>
    </row>
    <row r="58" spans="1:14" s="9" customFormat="1">
      <c r="A58" s="9" t="str">
        <f>IF(J58=$A$10,1+MAX($A$14:A57),"")</f>
        <v/>
      </c>
      <c r="B58" s="9" t="str">
        <f>IF(L58="","",IF(AND(DATE(I58,H58,G58)&gt;=$J$10,DATE(I58,H58,G58)&lt;=$J$11,L58=$K$7),1+MAX($B$14:B57),""))</f>
        <v/>
      </c>
      <c r="C58" s="9" t="str">
        <f t="shared" si="4"/>
        <v/>
      </c>
      <c r="E58" s="9" t="str">
        <f t="shared" si="5"/>
        <v/>
      </c>
      <c r="F58" s="9" t="str">
        <f t="shared" si="6"/>
        <v/>
      </c>
      <c r="L58" s="9" t="str">
        <f>IF(M58="","",VLOOKUP(M58,danhmuc!$C$5:$G$200,5,0))</f>
        <v/>
      </c>
      <c r="N58" s="49" t="str">
        <f>IF(M58="","",VLOOKUP(M58,danhmuc!$C$5:$G$122,2,0))</f>
        <v/>
      </c>
    </row>
    <row r="59" spans="1:14" s="9" customFormat="1">
      <c r="A59" s="9" t="str">
        <f>IF(J59=$A$10,1+MAX($A$14:A58),"")</f>
        <v/>
      </c>
      <c r="B59" s="9" t="str">
        <f>IF(L59="","",IF(AND(DATE(I59,H59,G59)&gt;=$J$10,DATE(I59,H59,G59)&lt;=$J$11,L59=$K$7),1+MAX($B$14:B58),""))</f>
        <v/>
      </c>
      <c r="C59" s="9" t="str">
        <f t="shared" si="4"/>
        <v/>
      </c>
      <c r="E59" s="9" t="str">
        <f t="shared" si="5"/>
        <v/>
      </c>
      <c r="F59" s="9" t="str">
        <f t="shared" si="6"/>
        <v/>
      </c>
      <c r="L59" s="9" t="str">
        <f>IF(M59="","",VLOOKUP(M59,danhmuc!$C$5:$G$200,5,0))</f>
        <v/>
      </c>
      <c r="N59" s="49" t="str">
        <f>IF(M59="","",VLOOKUP(M59,danhmuc!$C$5:$G$122,2,0))</f>
        <v/>
      </c>
    </row>
    <row r="60" spans="1:14" s="9" customFormat="1">
      <c r="A60" s="9" t="str">
        <f>IF(J60=$A$10,1+MAX($A$14:A59),"")</f>
        <v/>
      </c>
      <c r="B60" s="9" t="str">
        <f>IF(L60="","",IF(AND(DATE(I60,H60,G60)&gt;=$J$10,DATE(I60,H60,G60)&lt;=$J$11,L60=$K$7),1+MAX($B$14:B59),""))</f>
        <v/>
      </c>
      <c r="C60" s="9" t="str">
        <f t="shared" si="4"/>
        <v/>
      </c>
      <c r="E60" s="9" t="str">
        <f t="shared" si="5"/>
        <v/>
      </c>
      <c r="F60" s="9" t="str">
        <f t="shared" si="6"/>
        <v/>
      </c>
      <c r="L60" s="9" t="str">
        <f>IF(M60="","",VLOOKUP(M60,danhmuc!$C$5:$G$200,5,0))</f>
        <v/>
      </c>
      <c r="N60" s="49" t="str">
        <f>IF(M60="","",VLOOKUP(M60,danhmuc!$C$5:$G$122,2,0))</f>
        <v/>
      </c>
    </row>
    <row r="61" spans="1:14" s="9" customFormat="1">
      <c r="A61" s="9" t="str">
        <f>IF(J61=$A$10,1+MAX($A$14:A60),"")</f>
        <v/>
      </c>
      <c r="B61" s="9" t="str">
        <f>IF(L61="","",IF(AND(DATE(I61,H61,G61)&gt;=$J$10,DATE(I61,H61,G61)&lt;=$J$11,L61=$K$7),1+MAX($B$14:B60),""))</f>
        <v/>
      </c>
      <c r="C61" s="9" t="str">
        <f t="shared" si="4"/>
        <v/>
      </c>
      <c r="E61" s="9" t="str">
        <f t="shared" si="5"/>
        <v/>
      </c>
      <c r="F61" s="9" t="str">
        <f t="shared" si="6"/>
        <v/>
      </c>
      <c r="L61" s="9" t="str">
        <f>IF(M61="","",VLOOKUP(M61,danhmuc!$C$5:$G$200,5,0))</f>
        <v/>
      </c>
      <c r="N61" s="49" t="str">
        <f>IF(M61="","",VLOOKUP(M61,danhmuc!$C$5:$G$122,2,0))</f>
        <v/>
      </c>
    </row>
    <row r="62" spans="1:14" s="9" customFormat="1">
      <c r="A62" s="9" t="str">
        <f>IF(J62=$A$10,1+MAX($A$14:A61),"")</f>
        <v/>
      </c>
      <c r="B62" s="9" t="str">
        <f>IF(L62="","",IF(AND(DATE(I62,H62,G62)&gt;=$J$10,DATE(I62,H62,G62)&lt;=$J$11,L62=$K$7),1+MAX($B$14:B61),""))</f>
        <v/>
      </c>
      <c r="C62" s="9" t="str">
        <f t="shared" si="4"/>
        <v/>
      </c>
      <c r="E62" s="9" t="str">
        <f t="shared" si="5"/>
        <v/>
      </c>
      <c r="F62" s="9" t="str">
        <f t="shared" si="6"/>
        <v/>
      </c>
      <c r="L62" s="9" t="str">
        <f>IF(M62="","",VLOOKUP(M62,danhmuc!$C$5:$G$200,5,0))</f>
        <v/>
      </c>
      <c r="N62" s="49" t="str">
        <f>IF(M62="","",VLOOKUP(M62,danhmuc!$C$5:$G$122,2,0))</f>
        <v/>
      </c>
    </row>
    <row r="63" spans="1:14" s="9" customFormat="1">
      <c r="A63" s="9" t="str">
        <f>IF(J63=$A$10,1+MAX($A$14:A62),"")</f>
        <v/>
      </c>
      <c r="B63" s="9" t="str">
        <f>IF(L63="","",IF(AND(DATE(I63,H63,G63)&gt;=$J$10,DATE(I63,H63,G63)&lt;=$J$11,L63=$K$7),1+MAX($B$14:B62),""))</f>
        <v/>
      </c>
      <c r="C63" s="9" t="str">
        <f t="shared" si="4"/>
        <v/>
      </c>
      <c r="E63" s="9" t="str">
        <f t="shared" si="5"/>
        <v/>
      </c>
      <c r="F63" s="9" t="str">
        <f t="shared" si="6"/>
        <v/>
      </c>
      <c r="L63" s="9" t="str">
        <f>IF(M63="","",VLOOKUP(M63,danhmuc!$C$5:$G$200,5,0))</f>
        <v/>
      </c>
      <c r="N63" s="49" t="str">
        <f>IF(M63="","",VLOOKUP(M63,danhmuc!$C$5:$G$122,2,0))</f>
        <v/>
      </c>
    </row>
    <row r="64" spans="1:14" s="9" customFormat="1">
      <c r="A64" s="9" t="str">
        <f>IF(J64=$A$10,1+MAX($A$14:A63),"")</f>
        <v/>
      </c>
      <c r="B64" s="9" t="str">
        <f>IF(L64="","",IF(AND(DATE(I64,H64,G64)&gt;=$J$10,DATE(I64,H64,G64)&lt;=$J$11,L64=$K$7),1+MAX($B$14:B63),""))</f>
        <v/>
      </c>
      <c r="C64" s="9" t="str">
        <f t="shared" si="4"/>
        <v/>
      </c>
      <c r="E64" s="9" t="str">
        <f t="shared" si="5"/>
        <v/>
      </c>
      <c r="F64" s="9" t="str">
        <f t="shared" si="6"/>
        <v/>
      </c>
      <c r="L64" s="9" t="str">
        <f>IF(M64="","",VLOOKUP(M64,danhmuc!$C$5:$G$200,5,0))</f>
        <v/>
      </c>
      <c r="N64" s="49" t="str">
        <f>IF(M64="","",VLOOKUP(M64,danhmuc!$C$5:$G$122,2,0))</f>
        <v/>
      </c>
    </row>
    <row r="65" spans="1:19" s="9" customFormat="1">
      <c r="A65" s="9" t="str">
        <f>IF(J65=$A$10,1+MAX($A$14:A64),"")</f>
        <v/>
      </c>
      <c r="B65" s="9" t="str">
        <f>IF(L65="","",IF(AND(DATE(I65,H65,G65)&gt;=$J$10,DATE(I65,H65,G65)&lt;=$J$11,L65=$K$7),1+MAX($B$14:B64),""))</f>
        <v/>
      </c>
      <c r="C65" s="9" t="str">
        <f t="shared" si="4"/>
        <v/>
      </c>
      <c r="E65" s="9" t="str">
        <f t="shared" si="5"/>
        <v/>
      </c>
      <c r="F65" s="9" t="str">
        <f t="shared" si="6"/>
        <v/>
      </c>
      <c r="L65" s="9" t="str">
        <f>IF(M65="","",VLOOKUP(M65,danhmuc!$C$5:$G$200,5,0))</f>
        <v/>
      </c>
      <c r="N65" s="49" t="str">
        <f>IF(M65="","",VLOOKUP(M65,danhmuc!$C$5:$G$122,2,0))</f>
        <v/>
      </c>
    </row>
    <row r="66" spans="1:19">
      <c r="A66" s="9" t="str">
        <f>IF(J66=$A$10,1+MAX($A$14:A65),"")</f>
        <v/>
      </c>
      <c r="B66" s="9" t="str">
        <f>IF(L66="","",IF(AND(DATE(I66,H66,G66)&gt;=$J$10,DATE(I66,H66,G66)&lt;=$J$11,L66=$K$7),1+MAX($B$14:B65),""))</f>
        <v/>
      </c>
      <c r="C66" s="9" t="str">
        <f t="shared" si="4"/>
        <v/>
      </c>
      <c r="E66" s="9" t="str">
        <f t="shared" si="5"/>
        <v/>
      </c>
      <c r="F66" s="9" t="str">
        <f t="shared" si="6"/>
        <v/>
      </c>
      <c r="G66" s="9"/>
      <c r="H66" s="9"/>
      <c r="I66" s="9"/>
      <c r="K66" s="9"/>
      <c r="L66" s="9" t="str">
        <f>IF(M66="","",VLOOKUP(M66,danhmuc!$C$5:$G$200,5,0))</f>
        <v/>
      </c>
      <c r="M66" s="9"/>
      <c r="N66" s="49" t="str">
        <f>IF(M66="","",VLOOKUP(M66,danhmuc!$C$5:$G$122,2,0))</f>
        <v/>
      </c>
      <c r="P66" s="9"/>
      <c r="Q66" s="9"/>
      <c r="R66" s="9"/>
    </row>
    <row r="67" spans="1:19">
      <c r="A67" s="9" t="str">
        <f>IF(J67=$A$10,1+MAX($A$14:A66),"")</f>
        <v/>
      </c>
      <c r="B67" s="9" t="str">
        <f>IF(L67="","",IF(AND(DATE(I67,H67,G67)&gt;=$J$10,DATE(I67,H67,G67)&lt;=$J$11,L67=$K$7),1+MAX($B$14:B66),""))</f>
        <v/>
      </c>
      <c r="C67" s="9" t="str">
        <f t="shared" si="4"/>
        <v/>
      </c>
      <c r="E67" s="9" t="str">
        <f t="shared" si="5"/>
        <v/>
      </c>
      <c r="F67" s="9" t="str">
        <f t="shared" si="6"/>
        <v/>
      </c>
      <c r="G67" s="9"/>
      <c r="H67" s="9"/>
      <c r="I67" s="9"/>
      <c r="K67" s="9"/>
      <c r="L67" s="9" t="str">
        <f>IF(M67="","",VLOOKUP(M67,danhmuc!$C$5:$G$200,5,0))</f>
        <v/>
      </c>
      <c r="M67" s="9"/>
      <c r="N67" s="49" t="str">
        <f>IF(M67="","",VLOOKUP(M67,danhmuc!$C$5:$G$122,2,0))</f>
        <v/>
      </c>
      <c r="P67" s="9"/>
      <c r="Q67" s="9"/>
      <c r="R67" s="9"/>
    </row>
    <row r="68" spans="1:19">
      <c r="A68" s="40">
        <f>MAX(A15:A67)</f>
        <v>1</v>
      </c>
      <c r="B68" s="40"/>
      <c r="C68" s="25"/>
      <c r="D68" s="25">
        <f>MAX(D15:D67)</f>
        <v>4</v>
      </c>
      <c r="E68" s="25"/>
      <c r="F68" s="25">
        <f>MAX(F15:F67)</f>
        <v>12</v>
      </c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</row>
    <row r="69" spans="1:19">
      <c r="B69" s="9">
        <v>1</v>
      </c>
      <c r="C69" s="9">
        <v>2</v>
      </c>
      <c r="D69" s="9">
        <v>3</v>
      </c>
      <c r="E69" s="9">
        <v>4</v>
      </c>
      <c r="F69" s="9">
        <v>5</v>
      </c>
      <c r="G69" s="9">
        <v>6</v>
      </c>
      <c r="H69" s="9">
        <v>7</v>
      </c>
      <c r="I69" s="9">
        <v>8</v>
      </c>
      <c r="J69" s="9">
        <v>9</v>
      </c>
      <c r="K69" s="9">
        <v>10</v>
      </c>
      <c r="L69" s="9">
        <v>11</v>
      </c>
      <c r="M69" s="9">
        <v>12</v>
      </c>
      <c r="N69" s="9">
        <v>13</v>
      </c>
      <c r="O69" s="9">
        <v>14</v>
      </c>
      <c r="P69" s="9">
        <v>15</v>
      </c>
      <c r="Q69" s="9">
        <v>16</v>
      </c>
      <c r="R69" s="9">
        <v>17</v>
      </c>
      <c r="S69" s="9">
        <v>18</v>
      </c>
    </row>
  </sheetData>
  <mergeCells count="6">
    <mergeCell ref="Q13:R13"/>
    <mergeCell ref="I9:J9"/>
    <mergeCell ref="I6:J6"/>
    <mergeCell ref="G8:H10"/>
    <mergeCell ref="G11:H11"/>
    <mergeCell ref="G13:O13"/>
  </mergeCells>
  <dataValidations count="1">
    <dataValidation type="list" allowBlank="1" showInputMessage="1" showErrorMessage="1" sqref="M15:M67">
      <formula1>TENCHITIET</formula1>
    </dataValidation>
  </dataValidations>
  <hyperlinks>
    <hyperlink ref="G6" location="home!A1" display="Home"/>
  </hyperlink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55"/>
  <sheetViews>
    <sheetView topLeftCell="B5" workbookViewId="0">
      <selection activeCell="D14" sqref="D14"/>
    </sheetView>
  </sheetViews>
  <sheetFormatPr defaultRowHeight="15.75"/>
  <cols>
    <col min="2" max="2" width="15.375" customWidth="1"/>
    <col min="3" max="3" width="17.5" customWidth="1"/>
    <col min="4" max="4" width="18.375" customWidth="1"/>
    <col min="5" max="5" width="12.5" customWidth="1"/>
    <col min="6" max="6" width="12.5" style="9" customWidth="1"/>
    <col min="7" max="9" width="12.5" customWidth="1"/>
  </cols>
  <sheetData>
    <row r="1" spans="1:9" s="9" customFormat="1">
      <c r="A1" s="9" t="s">
        <v>301</v>
      </c>
    </row>
    <row r="2" spans="1:9" s="9" customFormat="1">
      <c r="A2" s="9" t="s">
        <v>302</v>
      </c>
    </row>
    <row r="3" spans="1:9">
      <c r="A3" s="9" t="s">
        <v>303</v>
      </c>
    </row>
    <row r="5" spans="1:9" s="9" customFormat="1">
      <c r="D5" s="61" t="s">
        <v>304</v>
      </c>
      <c r="E5" s="61"/>
    </row>
    <row r="6" spans="1:9" s="9" customFormat="1">
      <c r="B6" s="10" t="s">
        <v>190</v>
      </c>
      <c r="D6" s="61"/>
      <c r="E6" s="61"/>
    </row>
    <row r="7" spans="1:9" s="9" customFormat="1">
      <c r="B7" s="10" t="s">
        <v>189</v>
      </c>
    </row>
    <row r="8" spans="1:9" s="9" customFormat="1">
      <c r="B8" s="9" t="s">
        <v>185</v>
      </c>
      <c r="C8" s="27">
        <v>41641</v>
      </c>
    </row>
    <row r="9" spans="1:9" s="9" customFormat="1">
      <c r="A9" s="9">
        <f>nhapdulieu!D68</f>
        <v>4</v>
      </c>
      <c r="B9" s="9" t="s">
        <v>186</v>
      </c>
      <c r="C9" s="27">
        <v>41761</v>
      </c>
    </row>
    <row r="10" spans="1:9">
      <c r="B10" s="60" t="s">
        <v>184</v>
      </c>
      <c r="C10" s="60"/>
      <c r="D10" s="60"/>
      <c r="E10" s="60"/>
      <c r="F10" s="60"/>
      <c r="G10" s="60"/>
      <c r="H10" s="60"/>
      <c r="I10" s="60"/>
    </row>
    <row r="11" spans="1:9">
      <c r="B11" s="26" t="s">
        <v>177</v>
      </c>
      <c r="C11" s="26" t="s">
        <v>178</v>
      </c>
      <c r="D11" s="26" t="s">
        <v>179</v>
      </c>
      <c r="E11" s="26" t="s">
        <v>180</v>
      </c>
      <c r="F11" s="26" t="s">
        <v>192</v>
      </c>
      <c r="G11" s="26" t="s">
        <v>181</v>
      </c>
      <c r="H11" s="26" t="s">
        <v>182</v>
      </c>
      <c r="I11" s="26" t="s">
        <v>183</v>
      </c>
    </row>
    <row r="12" spans="1:9">
      <c r="A12">
        <f>IF(ROW(A1)&gt;$A$9,"",ROW(A1))</f>
        <v>1</v>
      </c>
      <c r="B12" t="str">
        <f>IF(A12="","",VLOOKUP(A12,nhapdulieu!D15:R67,9,0))</f>
        <v>BO90*20</v>
      </c>
      <c r="C12" s="9" t="str">
        <f>IF(A12="","",VLOOKUP(A12,nhapdulieu!D15:S67,10,0))</f>
        <v>Bọ tam giác 90*20*70</v>
      </c>
      <c r="D12" t="str">
        <f>IF(A12="","",VLOOKUP(C12,danhmuc!$C$5:$G$460,2,0))</f>
        <v>90*20*70</v>
      </c>
      <c r="E12" t="str">
        <f>IF(A12="","",VLOOKUP(C12,danhmuc!$C$5:$G$122,3,0))</f>
        <v>pcs</v>
      </c>
      <c r="F12" s="9">
        <f>IF(A12="","",VLOOKUP(B12,danhmuc!$G$5:$H$200,2,0)+SUMIF(nhapdulieu!$C$15:$C$67,"N"&amp;tonkho!B12,nhapdulieu!$P$15:$P$67)-SUMIF(nhapdulieu!$C$15:$C$67,"X"&amp;tonkho!B12,nhapdulieu!$P$15:$P$67))</f>
        <v>200</v>
      </c>
      <c r="G12">
        <f>SUMIF(nhapdulieu!$E$15:$E$241,"N"&amp;tonkho!B12,nhapdulieu!$P$15:$P$241)</f>
        <v>200</v>
      </c>
      <c r="H12" s="9">
        <f>SUMIF(nhapdulieu!$E$15:$E$241,"x"&amp;tonkho!B12,nhapdulieu!$P$15:$P$241)</f>
        <v>0</v>
      </c>
      <c r="I12">
        <f>IF(A12="","",F12+G12-H12)</f>
        <v>400</v>
      </c>
    </row>
    <row r="13" spans="1:9">
      <c r="A13" s="9">
        <f>IF(ROW(A2)&gt;$A$9,"",ROW(A2))</f>
        <v>2</v>
      </c>
      <c r="B13" s="9" t="str">
        <f>IF(A13="","",VLOOKUP(A13,nhapdulieu!D16:R68,9,0))</f>
        <v>BÀN HS wh</v>
      </c>
      <c r="C13" s="9" t="str">
        <f>IF(A13="","",VLOOKUP(A13,nhapdulieu!D16:S68,10,0))</f>
        <v>CHÂN BÀN HS wh</v>
      </c>
      <c r="D13" s="9">
        <f>IF(A13="","",VLOOKUP(C13,danhmuc!$C$5:$G$460,2,0))</f>
        <v>0</v>
      </c>
      <c r="E13" s="9" t="str">
        <f>IF(A13="","",VLOOKUP(C13,danhmuc!$C$5:$G$122,3,0))</f>
        <v>pcs</v>
      </c>
      <c r="F13" s="9">
        <f>IF(A13="","",VLOOKUP(B13,danhmuc!$G$5:$H$200,2,0)+SUMIF(nhapdulieu!$C$15:$C$67,"N"&amp;tonkho!B13,nhapdulieu!$P$15:$P$67)-SUMIF(nhapdulieu!$C$15:$C$67,"X"&amp;tonkho!B13,nhapdulieu!$P$15:$P$67))</f>
        <v>-98</v>
      </c>
      <c r="G13" s="9">
        <f>SUMIF(nhapdulieu!$E$15:$E$241,"N"&amp;tonkho!B13,nhapdulieu!$P$15:$P$241)</f>
        <v>0</v>
      </c>
      <c r="H13" s="9">
        <f>SUMIF(nhapdulieu!$E$15:$E$241,"x"&amp;tonkho!B13,nhapdulieu!$P$15:$P$241)</f>
        <v>100</v>
      </c>
      <c r="I13" s="9">
        <f t="shared" ref="I13:I15" si="0">IF(A13="","",F13+G13-H13)</f>
        <v>-198</v>
      </c>
    </row>
    <row r="14" spans="1:9">
      <c r="A14" s="9">
        <f>IF(ROW(A3)&gt;$A$9,"",ROW(A3))</f>
        <v>3</v>
      </c>
      <c r="B14" s="9" t="str">
        <f>IF(A14="","",VLOOKUP(A14,nhapdulieu!D17:R69,9,0))</f>
        <v>GHE HS</v>
      </c>
      <c r="C14" s="9" t="str">
        <f>IF(A14="","",VLOOKUP(A14,nhapdulieu!D17:S69,10,0))</f>
        <v>CHÂN GHẾ HS</v>
      </c>
      <c r="D14" s="9">
        <f>IF(A14="","",VLOOKUP(C14,danhmuc!$C$5:$G$460,2,0))</f>
        <v>0</v>
      </c>
      <c r="E14" s="9" t="str">
        <f>IF(A14="","",VLOOKUP(C14,danhmuc!$C$5:$G$122,3,0))</f>
        <v>PCS</v>
      </c>
      <c r="F14" s="9">
        <f>IF(A14="","",VLOOKUP(B14,danhmuc!$G$5:$H$200,2,0)+SUMIF(nhapdulieu!$C$15:$C$67,"N"&amp;tonkho!B14,nhapdulieu!$P$15:$P$67)-SUMIF(nhapdulieu!$C$15:$C$67,"X"&amp;tonkho!B14,nhapdulieu!$P$15:$P$67))</f>
        <v>106</v>
      </c>
      <c r="G14" s="9">
        <f>SUMIF(nhapdulieu!$E$15:$E$241,"N"&amp;tonkho!B14,nhapdulieu!$P$15:$P$241)</f>
        <v>100</v>
      </c>
      <c r="H14" s="9">
        <f>SUMIF(nhapdulieu!$E$15:$E$241,"x"&amp;tonkho!B14,nhapdulieu!$P$15:$P$241)</f>
        <v>0</v>
      </c>
      <c r="I14" s="9">
        <f t="shared" si="0"/>
        <v>206</v>
      </c>
    </row>
    <row r="15" spans="1:9">
      <c r="A15" s="9">
        <f>IF(ROW(A4)&gt;$A$9,"",ROW(A4))</f>
        <v>4</v>
      </c>
      <c r="B15" s="9" t="str">
        <f>IF(A15="","",VLOOKUP(A15,nhapdulieu!D18:R70,9,0))</f>
        <v>HH-#2217T N/3</v>
      </c>
      <c r="C15" s="9" t="str">
        <f>IF(A15="","",VLOOKUP(A15,nhapdulieu!D18:S70,10,0))</f>
        <v>Nẹp cuộn giấy BÀN HS wh</v>
      </c>
      <c r="D15" s="9">
        <f>IF(A15="","",VLOOKUP(C15,danhmuc!$C$5:$G$460,2,0))</f>
        <v>0</v>
      </c>
      <c r="E15" s="9" t="str">
        <f>IF(A15="","",VLOOKUP(C15,danhmuc!$C$5:$G$122,3,0))</f>
        <v>pcs</v>
      </c>
      <c r="F15" s="9">
        <f>IF(A15="","",VLOOKUP(B15,danhmuc!$G$5:$H$200,2,0)+SUMIF(nhapdulieu!$C$15:$C$67,"N"&amp;tonkho!B15,nhapdulieu!$P$15:$P$67)-SUMIF(nhapdulieu!$C$15:$C$67,"X"&amp;tonkho!B15,nhapdulieu!$P$15:$P$67))</f>
        <v>-20</v>
      </c>
      <c r="G15" s="9">
        <f>SUMIF(nhapdulieu!$E$15:$E$241,"N"&amp;tonkho!B15,nhapdulieu!$P$15:$P$241)</f>
        <v>0</v>
      </c>
      <c r="H15" s="9">
        <f>SUMIF(nhapdulieu!$E$15:$E$241,"x"&amp;tonkho!B15,nhapdulieu!$P$15:$P$241)</f>
        <v>20</v>
      </c>
      <c r="I15" s="9">
        <f t="shared" si="0"/>
        <v>-40</v>
      </c>
    </row>
    <row r="16" spans="1:9" s="9" customFormat="1">
      <c r="A16" s="9" t="str">
        <f t="shared" ref="A16:A54" si="1">IF(ROW(A5)&gt;$A$9,"",ROW(A5))</f>
        <v/>
      </c>
      <c r="B16" s="9" t="str">
        <f>IF(A16="","",VLOOKUP(A16,nhapdulieu!D19:R71,9,0))</f>
        <v/>
      </c>
      <c r="C16" s="9" t="str">
        <f>IF(A16="","",VLOOKUP(A16,nhapdulieu!D19:S71,10,0))</f>
        <v/>
      </c>
      <c r="D16" s="9" t="str">
        <f>IF(A16="","",VLOOKUP(C16,danhmuc!$C$5:$G$460,2,0))</f>
        <v/>
      </c>
      <c r="E16" s="9" t="str">
        <f>IF(A16="","",VLOOKUP(C16,danhmuc!$C$5:$G$122,3,0))</f>
        <v/>
      </c>
      <c r="F16" s="9" t="str">
        <f>IF(A16="","",VLOOKUP(B16,danhmuc!$G$5:$H$200,2,0)+SUMIF(nhapdulieu!$C$15:$C$67,"N"&amp;tonkho!B16,nhapdulieu!$P$15:$P$67)-SUMIF(nhapdulieu!$C$15:$C$67,"X"&amp;tonkho!B16,nhapdulieu!$P$15:$P$67))</f>
        <v/>
      </c>
      <c r="G16" s="9">
        <f>SUMIF(nhapdulieu!$E$15:$E$241,"N"&amp;tonkho!B16,nhapdulieu!$P$15:$P$241)</f>
        <v>0</v>
      </c>
      <c r="H16" s="9">
        <f>SUMIF(nhapdulieu!$E$15:$E$241,"x"&amp;tonkho!B16,nhapdulieu!$P$15:$P$241)</f>
        <v>0</v>
      </c>
      <c r="I16" s="9" t="str">
        <f t="shared" ref="I16:I54" si="2">IF(A16="","",F16+G16-H16)</f>
        <v/>
      </c>
    </row>
    <row r="17" spans="1:9" s="9" customFormat="1">
      <c r="A17" s="9" t="str">
        <f t="shared" si="1"/>
        <v/>
      </c>
      <c r="B17" s="9" t="str">
        <f>IF(A17="","",VLOOKUP(A17,nhapdulieu!D20:R72,9,0))</f>
        <v/>
      </c>
      <c r="C17" s="9" t="str">
        <f>IF(A17="","",VLOOKUP(A17,nhapdulieu!D20:S72,10,0))</f>
        <v/>
      </c>
      <c r="D17" s="9" t="str">
        <f>IF(A17="","",VLOOKUP(C17,danhmuc!$C$5:$G$460,2,0))</f>
        <v/>
      </c>
      <c r="E17" s="9" t="str">
        <f>IF(A17="","",VLOOKUP(C17,danhmuc!$C$5:$G$122,3,0))</f>
        <v/>
      </c>
      <c r="F17" s="9" t="str">
        <f>IF(A17="","",VLOOKUP(B17,danhmuc!$G$5:$H$200,2,0)+SUMIF(nhapdulieu!$C$15:$C$67,"N"&amp;tonkho!B17,nhapdulieu!$P$15:$P$67)-SUMIF(nhapdulieu!$C$15:$C$67,"X"&amp;tonkho!B17,nhapdulieu!$P$15:$P$67))</f>
        <v/>
      </c>
      <c r="G17" s="9">
        <f>SUMIF(nhapdulieu!$E$15:$E$241,"N"&amp;tonkho!B17,nhapdulieu!$P$15:$P$241)</f>
        <v>0</v>
      </c>
      <c r="H17" s="9">
        <f>SUMIF(nhapdulieu!$E$15:$E$241,"x"&amp;tonkho!B17,nhapdulieu!$P$15:$P$241)</f>
        <v>0</v>
      </c>
      <c r="I17" s="9" t="str">
        <f t="shared" si="2"/>
        <v/>
      </c>
    </row>
    <row r="18" spans="1:9" s="9" customFormat="1">
      <c r="A18" s="9" t="str">
        <f t="shared" si="1"/>
        <v/>
      </c>
      <c r="B18" s="9" t="str">
        <f>IF(A18="","",VLOOKUP(A18,nhapdulieu!D21:R73,9,0))</f>
        <v/>
      </c>
      <c r="C18" s="9" t="str">
        <f>IF(A18="","",VLOOKUP(A18,nhapdulieu!D21:S73,10,0))</f>
        <v/>
      </c>
      <c r="D18" s="9" t="str">
        <f>IF(A18="","",VLOOKUP(C18,danhmuc!$C$5:$G$460,2,0))</f>
        <v/>
      </c>
      <c r="E18" s="9" t="str">
        <f>IF(A18="","",VLOOKUP(C18,danhmuc!$C$5:$G$122,3,0))</f>
        <v/>
      </c>
      <c r="F18" s="9" t="str">
        <f>IF(A18="","",VLOOKUP(B18,danhmuc!$G$5:$H$200,2,0)+SUMIF(nhapdulieu!$C$15:$C$67,"N"&amp;tonkho!B18,nhapdulieu!$P$15:$P$67)-SUMIF(nhapdulieu!$C$15:$C$67,"X"&amp;tonkho!B18,nhapdulieu!$P$15:$P$67))</f>
        <v/>
      </c>
      <c r="G18" s="9">
        <f>SUMIF(nhapdulieu!$E$15:$E$241,"N"&amp;tonkho!B18,nhapdulieu!$P$15:$P$241)</f>
        <v>0</v>
      </c>
      <c r="H18" s="9">
        <f>SUMIF(nhapdulieu!$E$15:$E$241,"x"&amp;tonkho!B18,nhapdulieu!$P$15:$P$241)</f>
        <v>0</v>
      </c>
      <c r="I18" s="9" t="str">
        <f t="shared" si="2"/>
        <v/>
      </c>
    </row>
    <row r="19" spans="1:9" s="9" customFormat="1">
      <c r="A19" s="9" t="str">
        <f t="shared" si="1"/>
        <v/>
      </c>
      <c r="B19" s="9" t="str">
        <f>IF(A19="","",VLOOKUP(A19,nhapdulieu!D22:R74,9,0))</f>
        <v/>
      </c>
      <c r="C19" s="9" t="str">
        <f>IF(A19="","",VLOOKUP(A19,nhapdulieu!D22:S74,10,0))</f>
        <v/>
      </c>
      <c r="D19" s="9" t="str">
        <f>IF(A19="","",VLOOKUP(C19,danhmuc!$C$5:$G$460,2,0))</f>
        <v/>
      </c>
      <c r="E19" s="9" t="str">
        <f>IF(A19="","",VLOOKUP(C19,danhmuc!$C$5:$G$122,3,0))</f>
        <v/>
      </c>
      <c r="F19" s="9" t="str">
        <f>IF(A19="","",VLOOKUP(B19,danhmuc!$G$5:$H$200,2,0)+SUMIF(nhapdulieu!$C$15:$C$67,"N"&amp;tonkho!B19,nhapdulieu!$P$15:$P$67)-SUMIF(nhapdulieu!$C$15:$C$67,"X"&amp;tonkho!B19,nhapdulieu!$P$15:$P$67))</f>
        <v/>
      </c>
      <c r="G19" s="9">
        <f>SUMIF(nhapdulieu!$E$15:$E$241,"N"&amp;tonkho!B19,nhapdulieu!$P$15:$P$241)</f>
        <v>0</v>
      </c>
      <c r="H19" s="9">
        <f>SUMIF(nhapdulieu!$E$15:$E$241,"x"&amp;tonkho!B19,nhapdulieu!$P$15:$P$241)</f>
        <v>0</v>
      </c>
      <c r="I19" s="9" t="str">
        <f t="shared" si="2"/>
        <v/>
      </c>
    </row>
    <row r="20" spans="1:9" s="9" customFormat="1">
      <c r="A20" s="9" t="str">
        <f t="shared" si="1"/>
        <v/>
      </c>
      <c r="B20" s="9" t="str">
        <f>IF(A20="","",VLOOKUP(A20,nhapdulieu!D23:R75,9,0))</f>
        <v/>
      </c>
      <c r="C20" s="9" t="str">
        <f>IF(A20="","",VLOOKUP(A20,nhapdulieu!D23:S75,10,0))</f>
        <v/>
      </c>
      <c r="D20" s="9" t="str">
        <f>IF(A20="","",VLOOKUP(C20,danhmuc!$C$5:$G$460,2,0))</f>
        <v/>
      </c>
      <c r="E20" s="9" t="str">
        <f>IF(A20="","",VLOOKUP(C20,danhmuc!$C$5:$G$122,3,0))</f>
        <v/>
      </c>
      <c r="F20" s="9" t="str">
        <f>IF(A20="","",VLOOKUP(B20,danhmuc!$G$5:$H$200,2,0)+SUMIF(nhapdulieu!$C$15:$C$67,"N"&amp;tonkho!B20,nhapdulieu!$P$15:$P$67)-SUMIF(nhapdulieu!$C$15:$C$67,"X"&amp;tonkho!B20,nhapdulieu!$P$15:$P$67))</f>
        <v/>
      </c>
      <c r="G20" s="9">
        <f>SUMIF(nhapdulieu!$E$15:$E$241,"N"&amp;tonkho!B20,nhapdulieu!$P$15:$P$241)</f>
        <v>0</v>
      </c>
      <c r="H20" s="9">
        <f>SUMIF(nhapdulieu!$E$15:$E$241,"x"&amp;tonkho!B20,nhapdulieu!$P$15:$P$241)</f>
        <v>0</v>
      </c>
      <c r="I20" s="9" t="str">
        <f t="shared" si="2"/>
        <v/>
      </c>
    </row>
    <row r="21" spans="1:9" s="9" customFormat="1">
      <c r="A21" s="9" t="str">
        <f t="shared" si="1"/>
        <v/>
      </c>
      <c r="B21" s="9" t="str">
        <f>IF(A21="","",VLOOKUP(A21,nhapdulieu!D24:R76,9,0))</f>
        <v/>
      </c>
      <c r="C21" s="9" t="str">
        <f>IF(A21="","",VLOOKUP(A21,nhapdulieu!D24:S76,10,0))</f>
        <v/>
      </c>
      <c r="D21" s="9" t="str">
        <f>IF(A21="","",VLOOKUP(C21,danhmuc!$C$5:$G$460,2,0))</f>
        <v/>
      </c>
      <c r="E21" s="9" t="str">
        <f>IF(A21="","",VLOOKUP(C21,danhmuc!$C$5:$G$122,3,0))</f>
        <v/>
      </c>
      <c r="F21" s="9" t="str">
        <f>IF(A21="","",VLOOKUP(B21,danhmuc!$G$5:$H$200,2,0)+SUMIF(nhapdulieu!$C$15:$C$67,"N"&amp;tonkho!B21,nhapdulieu!$P$15:$P$67)-SUMIF(nhapdulieu!$C$15:$C$67,"X"&amp;tonkho!B21,nhapdulieu!$P$15:$P$67))</f>
        <v/>
      </c>
      <c r="G21" s="9">
        <f>SUMIF(nhapdulieu!$E$15:$E$241,"N"&amp;tonkho!B21,nhapdulieu!$P$15:$P$241)</f>
        <v>0</v>
      </c>
      <c r="H21" s="9">
        <f>SUMIF(nhapdulieu!$E$15:$E$241,"x"&amp;tonkho!B21,nhapdulieu!$P$15:$P$241)</f>
        <v>0</v>
      </c>
      <c r="I21" s="9" t="str">
        <f t="shared" si="2"/>
        <v/>
      </c>
    </row>
    <row r="22" spans="1:9" s="9" customFormat="1">
      <c r="A22" s="9" t="str">
        <f t="shared" si="1"/>
        <v/>
      </c>
      <c r="B22" s="9" t="str">
        <f>IF(A22="","",VLOOKUP(A22,nhapdulieu!D25:R77,9,0))</f>
        <v/>
      </c>
      <c r="C22" s="9" t="str">
        <f>IF(A22="","",VLOOKUP(A22,nhapdulieu!D25:S77,10,0))</f>
        <v/>
      </c>
      <c r="D22" s="9" t="str">
        <f>IF(A22="","",VLOOKUP(C22,danhmuc!$C$5:$G$460,2,0))</f>
        <v/>
      </c>
      <c r="E22" s="9" t="str">
        <f>IF(A22="","",VLOOKUP(C22,danhmuc!$C$5:$G$122,3,0))</f>
        <v/>
      </c>
      <c r="F22" s="9" t="str">
        <f>IF(A22="","",VLOOKUP(B22,danhmuc!$G$5:$H$200,2,0)+SUMIF(nhapdulieu!$C$15:$C$67,"N"&amp;tonkho!B22,nhapdulieu!$P$15:$P$67)-SUMIF(nhapdulieu!$C$15:$C$67,"X"&amp;tonkho!B22,nhapdulieu!$P$15:$P$67))</f>
        <v/>
      </c>
      <c r="G22" s="9">
        <f>SUMIF(nhapdulieu!$E$15:$E$241,"N"&amp;tonkho!B22,nhapdulieu!$P$15:$P$241)</f>
        <v>0</v>
      </c>
      <c r="H22" s="9">
        <f>SUMIF(nhapdulieu!$E$15:$E$241,"x"&amp;tonkho!B22,nhapdulieu!$P$15:$P$241)</f>
        <v>0</v>
      </c>
      <c r="I22" s="9" t="str">
        <f t="shared" si="2"/>
        <v/>
      </c>
    </row>
    <row r="23" spans="1:9" s="9" customFormat="1">
      <c r="A23" s="9" t="str">
        <f t="shared" si="1"/>
        <v/>
      </c>
      <c r="B23" s="9" t="str">
        <f>IF(A23="","",VLOOKUP(A23,nhapdulieu!D26:R78,9,0))</f>
        <v/>
      </c>
      <c r="C23" s="9" t="str">
        <f>IF(A23="","",VLOOKUP(A23,nhapdulieu!D26:S78,10,0))</f>
        <v/>
      </c>
      <c r="D23" s="9" t="str">
        <f>IF(A23="","",VLOOKUP(C23,danhmuc!$C$5:$G$460,2,0))</f>
        <v/>
      </c>
      <c r="E23" s="9" t="str">
        <f>IF(A23="","",VLOOKUP(C23,danhmuc!$C$5:$G$122,3,0))</f>
        <v/>
      </c>
      <c r="F23" s="9" t="str">
        <f>IF(A23="","",VLOOKUP(B23,danhmuc!$G$5:$H$200,2,0)+SUMIF(nhapdulieu!$C$15:$C$67,"N"&amp;tonkho!B23,nhapdulieu!$P$15:$P$67)-SUMIF(nhapdulieu!$C$15:$C$67,"X"&amp;tonkho!B23,nhapdulieu!$P$15:$P$67))</f>
        <v/>
      </c>
      <c r="G23" s="9">
        <f>SUMIF(nhapdulieu!$E$15:$E$241,"N"&amp;tonkho!B23,nhapdulieu!$P$15:$P$241)</f>
        <v>0</v>
      </c>
      <c r="H23" s="9">
        <f>SUMIF(nhapdulieu!$E$15:$E$241,"x"&amp;tonkho!B23,nhapdulieu!$P$15:$P$241)</f>
        <v>0</v>
      </c>
      <c r="I23" s="9" t="str">
        <f t="shared" si="2"/>
        <v/>
      </c>
    </row>
    <row r="24" spans="1:9" s="9" customFormat="1">
      <c r="A24" s="9" t="str">
        <f t="shared" si="1"/>
        <v/>
      </c>
      <c r="B24" s="9" t="str">
        <f>IF(A24="","",VLOOKUP(A24,nhapdulieu!D27:R79,9,0))</f>
        <v/>
      </c>
      <c r="C24" s="9" t="str">
        <f>IF(A24="","",VLOOKUP(A24,nhapdulieu!D27:S79,10,0))</f>
        <v/>
      </c>
      <c r="D24" s="9" t="str">
        <f>IF(A24="","",VLOOKUP(C24,danhmuc!$C$5:$G$460,2,0))</f>
        <v/>
      </c>
      <c r="E24" s="9" t="str">
        <f>IF(A24="","",VLOOKUP(C24,danhmuc!$C$5:$G$122,3,0))</f>
        <v/>
      </c>
      <c r="F24" s="9" t="str">
        <f>IF(A24="","",VLOOKUP(B24,danhmuc!$G$5:$H$200,2,0)+SUMIF(nhapdulieu!$C$15:$C$67,"N"&amp;tonkho!B24,nhapdulieu!$P$15:$P$67)-SUMIF(nhapdulieu!$C$15:$C$67,"X"&amp;tonkho!B24,nhapdulieu!$P$15:$P$67))</f>
        <v/>
      </c>
      <c r="G24" s="9">
        <f>SUMIF(nhapdulieu!$E$15:$E$241,"N"&amp;tonkho!B24,nhapdulieu!$P$15:$P$241)</f>
        <v>0</v>
      </c>
      <c r="H24" s="9">
        <f>SUMIF(nhapdulieu!$E$15:$E$241,"x"&amp;tonkho!B24,nhapdulieu!$P$15:$P$241)</f>
        <v>0</v>
      </c>
      <c r="I24" s="9" t="str">
        <f t="shared" si="2"/>
        <v/>
      </c>
    </row>
    <row r="25" spans="1:9" s="9" customFormat="1">
      <c r="A25" s="9" t="str">
        <f t="shared" si="1"/>
        <v/>
      </c>
      <c r="B25" s="9" t="str">
        <f>IF(A25="","",VLOOKUP(A25,nhapdulieu!D28:R80,9,0))</f>
        <v/>
      </c>
      <c r="C25" s="9" t="str">
        <f>IF(A25="","",VLOOKUP(A25,nhapdulieu!D28:S80,10,0))</f>
        <v/>
      </c>
      <c r="D25" s="9" t="str">
        <f>IF(A25="","",VLOOKUP(C25,danhmuc!$C$5:$G$460,2,0))</f>
        <v/>
      </c>
      <c r="E25" s="9" t="str">
        <f>IF(A25="","",VLOOKUP(C25,danhmuc!$C$5:$G$122,3,0))</f>
        <v/>
      </c>
      <c r="F25" s="9" t="str">
        <f>IF(A25="","",VLOOKUP(B25,danhmuc!$G$5:$H$200,2,0)+SUMIF(nhapdulieu!$C$15:$C$67,"N"&amp;tonkho!B25,nhapdulieu!$P$15:$P$67)-SUMIF(nhapdulieu!$C$15:$C$67,"X"&amp;tonkho!B25,nhapdulieu!$P$15:$P$67))</f>
        <v/>
      </c>
      <c r="G25" s="9">
        <f>SUMIF(nhapdulieu!$E$15:$E$241,"N"&amp;tonkho!B25,nhapdulieu!$P$15:$P$241)</f>
        <v>0</v>
      </c>
      <c r="H25" s="9">
        <f>SUMIF(nhapdulieu!$E$15:$E$241,"x"&amp;tonkho!B25,nhapdulieu!$P$15:$P$241)</f>
        <v>0</v>
      </c>
      <c r="I25" s="9" t="str">
        <f t="shared" si="2"/>
        <v/>
      </c>
    </row>
    <row r="26" spans="1:9" s="9" customFormat="1">
      <c r="A26" s="9" t="str">
        <f t="shared" si="1"/>
        <v/>
      </c>
      <c r="B26" s="9" t="str">
        <f>IF(A26="","",VLOOKUP(A26,nhapdulieu!D29:R81,9,0))</f>
        <v/>
      </c>
      <c r="C26" s="9" t="str">
        <f>IF(A26="","",VLOOKUP(A26,nhapdulieu!D29:S81,10,0))</f>
        <v/>
      </c>
      <c r="D26" s="9" t="str">
        <f>IF(A26="","",VLOOKUP(C26,danhmuc!$C$5:$G$460,2,0))</f>
        <v/>
      </c>
      <c r="E26" s="9" t="str">
        <f>IF(A26="","",VLOOKUP(C26,danhmuc!$C$5:$G$122,3,0))</f>
        <v/>
      </c>
      <c r="F26" s="9" t="str">
        <f>IF(A26="","",VLOOKUP(B26,danhmuc!$G$5:$H$200,2,0)+SUMIF(nhapdulieu!$C$15:$C$67,"N"&amp;tonkho!B26,nhapdulieu!$P$15:$P$67)-SUMIF(nhapdulieu!$C$15:$C$67,"X"&amp;tonkho!B26,nhapdulieu!$P$15:$P$67))</f>
        <v/>
      </c>
      <c r="G26" s="9">
        <f>SUMIF(nhapdulieu!$E$15:$E$241,"N"&amp;tonkho!B26,nhapdulieu!$P$15:$P$241)</f>
        <v>0</v>
      </c>
      <c r="H26" s="9">
        <f>SUMIF(nhapdulieu!$E$15:$E$241,"x"&amp;tonkho!B26,nhapdulieu!$P$15:$P$241)</f>
        <v>0</v>
      </c>
      <c r="I26" s="9" t="str">
        <f t="shared" si="2"/>
        <v/>
      </c>
    </row>
    <row r="27" spans="1:9" s="9" customFormat="1">
      <c r="A27" s="9" t="str">
        <f t="shared" si="1"/>
        <v/>
      </c>
      <c r="B27" s="9" t="str">
        <f>IF(A27="","",VLOOKUP(A27,nhapdulieu!D30:R82,9,0))</f>
        <v/>
      </c>
      <c r="C27" s="9" t="str">
        <f>IF(A27="","",VLOOKUP(A27,nhapdulieu!D30:S82,10,0))</f>
        <v/>
      </c>
      <c r="D27" s="9" t="str">
        <f>IF(A27="","",VLOOKUP(C27,danhmuc!$C$5:$G$460,2,0))</f>
        <v/>
      </c>
      <c r="E27" s="9" t="str">
        <f>IF(A27="","",VLOOKUP(C27,danhmuc!$C$5:$G$122,3,0))</f>
        <v/>
      </c>
      <c r="F27" s="9" t="str">
        <f>IF(A27="","",VLOOKUP(B27,danhmuc!$G$5:$H$200,2,0)+SUMIF(nhapdulieu!$C$15:$C$67,"N"&amp;tonkho!B27,nhapdulieu!$P$15:$P$67)-SUMIF(nhapdulieu!$C$15:$C$67,"X"&amp;tonkho!B27,nhapdulieu!$P$15:$P$67))</f>
        <v/>
      </c>
      <c r="G27" s="9">
        <f>SUMIF(nhapdulieu!$E$15:$E$241,"N"&amp;tonkho!B27,nhapdulieu!$P$15:$P$241)</f>
        <v>0</v>
      </c>
      <c r="H27" s="9">
        <f>SUMIF(nhapdulieu!$E$15:$E$241,"x"&amp;tonkho!B27,nhapdulieu!$P$15:$P$241)</f>
        <v>0</v>
      </c>
      <c r="I27" s="9" t="str">
        <f t="shared" si="2"/>
        <v/>
      </c>
    </row>
    <row r="28" spans="1:9" s="9" customFormat="1">
      <c r="A28" s="9" t="str">
        <f t="shared" si="1"/>
        <v/>
      </c>
      <c r="B28" s="9" t="str">
        <f>IF(A28="","",VLOOKUP(A28,nhapdulieu!D31:R83,9,0))</f>
        <v/>
      </c>
      <c r="C28" s="9" t="str">
        <f>IF(A28="","",VLOOKUP(A28,nhapdulieu!D31:S83,10,0))</f>
        <v/>
      </c>
      <c r="D28" s="9" t="str">
        <f>IF(A28="","",VLOOKUP(C28,danhmuc!$C$5:$G$460,2,0))</f>
        <v/>
      </c>
      <c r="E28" s="9" t="str">
        <f>IF(A28="","",VLOOKUP(C28,danhmuc!$C$5:$G$122,3,0))</f>
        <v/>
      </c>
      <c r="F28" s="9" t="str">
        <f>IF(A28="","",VLOOKUP(B28,danhmuc!$G$5:$H$200,2,0)+SUMIF(nhapdulieu!$C$15:$C$67,"N"&amp;tonkho!B28,nhapdulieu!$P$15:$P$67)-SUMIF(nhapdulieu!$C$15:$C$67,"X"&amp;tonkho!B28,nhapdulieu!$P$15:$P$67))</f>
        <v/>
      </c>
      <c r="G28" s="9">
        <f>SUMIF(nhapdulieu!$E$15:$E$241,"N"&amp;tonkho!B28,nhapdulieu!$P$15:$P$241)</f>
        <v>0</v>
      </c>
      <c r="H28" s="9">
        <f>SUMIF(nhapdulieu!$E$15:$E$241,"x"&amp;tonkho!B28,nhapdulieu!$P$15:$P$241)</f>
        <v>0</v>
      </c>
      <c r="I28" s="9" t="str">
        <f t="shared" si="2"/>
        <v/>
      </c>
    </row>
    <row r="29" spans="1:9" s="9" customFormat="1">
      <c r="A29" s="9" t="str">
        <f t="shared" si="1"/>
        <v/>
      </c>
      <c r="B29" s="9" t="str">
        <f>IF(A29="","",VLOOKUP(A29,nhapdulieu!D32:R84,9,0))</f>
        <v/>
      </c>
      <c r="C29" s="9" t="str">
        <f>IF(A29="","",VLOOKUP(A29,nhapdulieu!D32:S84,10,0))</f>
        <v/>
      </c>
      <c r="D29" s="9" t="str">
        <f>IF(A29="","",VLOOKUP(C29,danhmuc!$C$5:$G$460,2,0))</f>
        <v/>
      </c>
      <c r="E29" s="9" t="str">
        <f>IF(A29="","",VLOOKUP(C29,danhmuc!$C$5:$G$122,3,0))</f>
        <v/>
      </c>
      <c r="F29" s="9" t="str">
        <f>IF(A29="","",VLOOKUP(B29,danhmuc!$G$5:$H$200,2,0)+SUMIF(nhapdulieu!$C$15:$C$67,"N"&amp;tonkho!B29,nhapdulieu!$P$15:$P$67)-SUMIF(nhapdulieu!$C$15:$C$67,"X"&amp;tonkho!B29,nhapdulieu!$P$15:$P$67))</f>
        <v/>
      </c>
      <c r="G29" s="9">
        <f>SUMIF(nhapdulieu!$E$15:$E$241,"N"&amp;tonkho!B29,nhapdulieu!$P$15:$P$241)</f>
        <v>0</v>
      </c>
      <c r="H29" s="9">
        <f>SUMIF(nhapdulieu!$E$15:$E$241,"x"&amp;tonkho!B29,nhapdulieu!$P$15:$P$241)</f>
        <v>0</v>
      </c>
      <c r="I29" s="9" t="str">
        <f t="shared" si="2"/>
        <v/>
      </c>
    </row>
    <row r="30" spans="1:9" s="9" customFormat="1">
      <c r="A30" s="9" t="str">
        <f t="shared" si="1"/>
        <v/>
      </c>
      <c r="B30" s="9" t="str">
        <f>IF(A30="","",VLOOKUP(A30,nhapdulieu!D33:R85,9,0))</f>
        <v/>
      </c>
      <c r="C30" s="9" t="str">
        <f>IF(A30="","",VLOOKUP(A30,nhapdulieu!D33:S85,10,0))</f>
        <v/>
      </c>
      <c r="D30" s="9" t="str">
        <f>IF(A30="","",VLOOKUP(C30,danhmuc!$C$5:$G$460,2,0))</f>
        <v/>
      </c>
      <c r="E30" s="9" t="str">
        <f>IF(A30="","",VLOOKUP(C30,danhmuc!$C$5:$G$122,3,0))</f>
        <v/>
      </c>
      <c r="F30" s="9" t="str">
        <f>IF(A30="","",VLOOKUP(B30,danhmuc!$G$5:$H$200,2,0)+SUMIF(nhapdulieu!$C$15:$C$67,"N"&amp;tonkho!B30,nhapdulieu!$P$15:$P$67)-SUMIF(nhapdulieu!$C$15:$C$67,"X"&amp;tonkho!B30,nhapdulieu!$P$15:$P$67))</f>
        <v/>
      </c>
      <c r="G30" s="9">
        <f>SUMIF(nhapdulieu!$E$15:$E$241,"N"&amp;tonkho!B30,nhapdulieu!$P$15:$P$241)</f>
        <v>0</v>
      </c>
      <c r="H30" s="9">
        <f>SUMIF(nhapdulieu!$E$15:$E$241,"x"&amp;tonkho!B30,nhapdulieu!$P$15:$P$241)</f>
        <v>0</v>
      </c>
      <c r="I30" s="9" t="str">
        <f t="shared" si="2"/>
        <v/>
      </c>
    </row>
    <row r="31" spans="1:9" s="9" customFormat="1">
      <c r="A31" s="9" t="str">
        <f t="shared" si="1"/>
        <v/>
      </c>
      <c r="B31" s="9" t="str">
        <f>IF(A31="","",VLOOKUP(A31,nhapdulieu!D34:R86,9,0))</f>
        <v/>
      </c>
      <c r="C31" s="9" t="str">
        <f>IF(A31="","",VLOOKUP(A31,nhapdulieu!D34:S86,10,0))</f>
        <v/>
      </c>
      <c r="D31" s="9" t="str">
        <f>IF(A31="","",VLOOKUP(C31,danhmuc!$C$5:$G$460,2,0))</f>
        <v/>
      </c>
      <c r="E31" s="9" t="str">
        <f>IF(A31="","",VLOOKUP(C31,danhmuc!$C$5:$G$122,3,0))</f>
        <v/>
      </c>
      <c r="F31" s="9" t="str">
        <f>IF(A31="","",VLOOKUP(B31,danhmuc!$G$5:$H$200,2,0)+SUMIF(nhapdulieu!$C$15:$C$67,"N"&amp;tonkho!B31,nhapdulieu!$P$15:$P$67)-SUMIF(nhapdulieu!$C$15:$C$67,"X"&amp;tonkho!B31,nhapdulieu!$P$15:$P$67))</f>
        <v/>
      </c>
      <c r="G31" s="9">
        <f>SUMIF(nhapdulieu!$E$15:$E$241,"N"&amp;tonkho!B31,nhapdulieu!$P$15:$P$241)</f>
        <v>0</v>
      </c>
      <c r="H31" s="9">
        <f>SUMIF(nhapdulieu!$E$15:$E$241,"x"&amp;tonkho!B31,nhapdulieu!$P$15:$P$241)</f>
        <v>0</v>
      </c>
      <c r="I31" s="9" t="str">
        <f t="shared" si="2"/>
        <v/>
      </c>
    </row>
    <row r="32" spans="1:9" s="9" customFormat="1">
      <c r="A32" s="9" t="str">
        <f t="shared" si="1"/>
        <v/>
      </c>
      <c r="B32" s="9" t="str">
        <f>IF(A32="","",VLOOKUP(A32,nhapdulieu!D35:R87,9,0))</f>
        <v/>
      </c>
      <c r="C32" s="9" t="str">
        <f>IF(A32="","",VLOOKUP(A32,nhapdulieu!D35:S87,10,0))</f>
        <v/>
      </c>
      <c r="D32" s="9" t="str">
        <f>IF(A32="","",VLOOKUP(C32,danhmuc!$C$5:$G$460,2,0))</f>
        <v/>
      </c>
      <c r="E32" s="9" t="str">
        <f>IF(A32="","",VLOOKUP(C32,danhmuc!$C$5:$G$122,3,0))</f>
        <v/>
      </c>
      <c r="F32" s="9" t="str">
        <f>IF(A32="","",VLOOKUP(B32,danhmuc!$G$5:$H$200,2,0)+SUMIF(nhapdulieu!$C$15:$C$67,"N"&amp;tonkho!B32,nhapdulieu!$P$15:$P$67)-SUMIF(nhapdulieu!$C$15:$C$67,"X"&amp;tonkho!B32,nhapdulieu!$P$15:$P$67))</f>
        <v/>
      </c>
      <c r="G32" s="9">
        <f>SUMIF(nhapdulieu!$E$15:$E$241,"N"&amp;tonkho!B32,nhapdulieu!$P$15:$P$241)</f>
        <v>0</v>
      </c>
      <c r="H32" s="9">
        <f>SUMIF(nhapdulieu!$E$15:$E$241,"x"&amp;tonkho!B32,nhapdulieu!$P$15:$P$241)</f>
        <v>0</v>
      </c>
      <c r="I32" s="9" t="str">
        <f t="shared" si="2"/>
        <v/>
      </c>
    </row>
    <row r="33" spans="1:9" s="9" customFormat="1">
      <c r="A33" s="9" t="str">
        <f t="shared" si="1"/>
        <v/>
      </c>
      <c r="B33" s="9" t="str">
        <f>IF(A33="","",VLOOKUP(A33,nhapdulieu!D36:R88,9,0))</f>
        <v/>
      </c>
      <c r="C33" s="9" t="str">
        <f>IF(A33="","",VLOOKUP(A33,nhapdulieu!D36:S88,10,0))</f>
        <v/>
      </c>
      <c r="D33" s="9" t="str">
        <f>IF(A33="","",VLOOKUP(C33,danhmuc!$C$5:$G$460,2,0))</f>
        <v/>
      </c>
      <c r="E33" s="9" t="str">
        <f>IF(A33="","",VLOOKUP(C33,danhmuc!$C$5:$G$122,3,0))</f>
        <v/>
      </c>
      <c r="F33" s="9" t="str">
        <f>IF(A33="","",VLOOKUP(B33,danhmuc!$G$5:$H$200,2,0)+SUMIF(nhapdulieu!$C$15:$C$67,"N"&amp;tonkho!B33,nhapdulieu!$P$15:$P$67)-SUMIF(nhapdulieu!$C$15:$C$67,"X"&amp;tonkho!B33,nhapdulieu!$P$15:$P$67))</f>
        <v/>
      </c>
      <c r="G33" s="9">
        <f>SUMIF(nhapdulieu!$E$15:$E$241,"N"&amp;tonkho!B33,nhapdulieu!$P$15:$P$241)</f>
        <v>0</v>
      </c>
      <c r="H33" s="9">
        <f>SUMIF(nhapdulieu!$E$15:$E$241,"x"&amp;tonkho!B33,nhapdulieu!$P$15:$P$241)</f>
        <v>0</v>
      </c>
      <c r="I33" s="9" t="str">
        <f t="shared" si="2"/>
        <v/>
      </c>
    </row>
    <row r="34" spans="1:9" s="9" customFormat="1">
      <c r="A34" s="9" t="str">
        <f t="shared" si="1"/>
        <v/>
      </c>
      <c r="B34" s="9" t="str">
        <f>IF(A34="","",VLOOKUP(A34,nhapdulieu!D37:R89,9,0))</f>
        <v/>
      </c>
      <c r="C34" s="9" t="str">
        <f>IF(A34="","",VLOOKUP(A34,nhapdulieu!D37:S89,10,0))</f>
        <v/>
      </c>
      <c r="D34" s="9" t="str">
        <f>IF(A34="","",VLOOKUP(C34,danhmuc!$C$5:$G$460,2,0))</f>
        <v/>
      </c>
      <c r="E34" s="9" t="str">
        <f>IF(A34="","",VLOOKUP(C34,danhmuc!$C$5:$G$122,3,0))</f>
        <v/>
      </c>
      <c r="F34" s="9" t="str">
        <f>IF(A34="","",VLOOKUP(B34,danhmuc!$G$5:$H$200,2,0)+SUMIF(nhapdulieu!$C$15:$C$67,"N"&amp;tonkho!B34,nhapdulieu!$P$15:$P$67)-SUMIF(nhapdulieu!$C$15:$C$67,"X"&amp;tonkho!B34,nhapdulieu!$P$15:$P$67))</f>
        <v/>
      </c>
      <c r="G34" s="9">
        <f>SUMIF(nhapdulieu!$E$15:$E$241,"N"&amp;tonkho!B34,nhapdulieu!$P$15:$P$241)</f>
        <v>0</v>
      </c>
      <c r="H34" s="9">
        <f>SUMIF(nhapdulieu!$E$15:$E$241,"x"&amp;tonkho!B34,nhapdulieu!$P$15:$P$241)</f>
        <v>0</v>
      </c>
      <c r="I34" s="9" t="str">
        <f t="shared" si="2"/>
        <v/>
      </c>
    </row>
    <row r="35" spans="1:9" s="9" customFormat="1">
      <c r="A35" s="9" t="str">
        <f t="shared" si="1"/>
        <v/>
      </c>
      <c r="B35" s="9" t="str">
        <f>IF(A35="","",VLOOKUP(A35,nhapdulieu!D38:R90,9,0))</f>
        <v/>
      </c>
      <c r="C35" s="9" t="str">
        <f>IF(A35="","",VLOOKUP(A35,nhapdulieu!D38:S90,10,0))</f>
        <v/>
      </c>
      <c r="D35" s="9" t="str">
        <f>IF(A35="","",VLOOKUP(C35,danhmuc!$C$5:$G$460,2,0))</f>
        <v/>
      </c>
      <c r="E35" s="9" t="str">
        <f>IF(A35="","",VLOOKUP(C35,danhmuc!$C$5:$G$122,3,0))</f>
        <v/>
      </c>
      <c r="F35" s="9" t="str">
        <f>IF(A35="","",VLOOKUP(B35,danhmuc!$G$5:$H$200,2,0)+SUMIF(nhapdulieu!$C$15:$C$67,"N"&amp;tonkho!B35,nhapdulieu!$P$15:$P$67)-SUMIF(nhapdulieu!$C$15:$C$67,"X"&amp;tonkho!B35,nhapdulieu!$P$15:$P$67))</f>
        <v/>
      </c>
      <c r="G35" s="9">
        <f>SUMIF(nhapdulieu!$E$15:$E$241,"N"&amp;tonkho!B35,nhapdulieu!$P$15:$P$241)</f>
        <v>0</v>
      </c>
      <c r="H35" s="9">
        <f>SUMIF(nhapdulieu!$E$15:$E$241,"x"&amp;tonkho!B35,nhapdulieu!$P$15:$P$241)</f>
        <v>0</v>
      </c>
      <c r="I35" s="9" t="str">
        <f t="shared" si="2"/>
        <v/>
      </c>
    </row>
    <row r="36" spans="1:9" s="9" customFormat="1">
      <c r="A36" s="9" t="str">
        <f t="shared" si="1"/>
        <v/>
      </c>
      <c r="B36" s="9" t="str">
        <f>IF(A36="","",VLOOKUP(A36,nhapdulieu!D39:R91,9,0))</f>
        <v/>
      </c>
      <c r="C36" s="9" t="str">
        <f>IF(A36="","",VLOOKUP(A36,nhapdulieu!D39:S91,10,0))</f>
        <v/>
      </c>
      <c r="D36" s="9" t="str">
        <f>IF(A36="","",VLOOKUP(C36,danhmuc!$C$5:$G$460,2,0))</f>
        <v/>
      </c>
      <c r="E36" s="9" t="str">
        <f>IF(A36="","",VLOOKUP(C36,danhmuc!$C$5:$G$122,3,0))</f>
        <v/>
      </c>
      <c r="F36" s="9" t="str">
        <f>IF(A36="","",VLOOKUP(B36,danhmuc!$G$5:$H$200,2,0)+SUMIF(nhapdulieu!$C$15:$C$67,"N"&amp;tonkho!B36,nhapdulieu!$P$15:$P$67)-SUMIF(nhapdulieu!$C$15:$C$67,"X"&amp;tonkho!B36,nhapdulieu!$P$15:$P$67))</f>
        <v/>
      </c>
      <c r="G36" s="9">
        <f>SUMIF(nhapdulieu!$E$15:$E$241,"N"&amp;tonkho!B36,nhapdulieu!$P$15:$P$241)</f>
        <v>0</v>
      </c>
      <c r="H36" s="9">
        <f>SUMIF(nhapdulieu!$E$15:$E$241,"x"&amp;tonkho!B36,nhapdulieu!$P$15:$P$241)</f>
        <v>0</v>
      </c>
      <c r="I36" s="9" t="str">
        <f t="shared" si="2"/>
        <v/>
      </c>
    </row>
    <row r="37" spans="1:9" s="9" customFormat="1">
      <c r="A37" s="9" t="str">
        <f t="shared" si="1"/>
        <v/>
      </c>
      <c r="B37" s="9" t="str">
        <f>IF(A37="","",VLOOKUP(A37,nhapdulieu!D40:R92,9,0))</f>
        <v/>
      </c>
      <c r="C37" s="9" t="str">
        <f>IF(A37="","",VLOOKUP(A37,nhapdulieu!D40:S92,10,0))</f>
        <v/>
      </c>
      <c r="D37" s="9" t="str">
        <f>IF(A37="","",VLOOKUP(C37,danhmuc!$C$5:$G$460,2,0))</f>
        <v/>
      </c>
      <c r="E37" s="9" t="str">
        <f>IF(A37="","",VLOOKUP(C37,danhmuc!$C$5:$G$122,3,0))</f>
        <v/>
      </c>
      <c r="F37" s="9" t="str">
        <f>IF(A37="","",VLOOKUP(B37,danhmuc!$G$5:$H$200,2,0)+SUMIF(nhapdulieu!$C$15:$C$67,"N"&amp;tonkho!B37,nhapdulieu!$P$15:$P$67)-SUMIF(nhapdulieu!$C$15:$C$67,"X"&amp;tonkho!B37,nhapdulieu!$P$15:$P$67))</f>
        <v/>
      </c>
      <c r="G37" s="9">
        <f>SUMIF(nhapdulieu!$E$15:$E$241,"N"&amp;tonkho!B37,nhapdulieu!$P$15:$P$241)</f>
        <v>0</v>
      </c>
      <c r="H37" s="9">
        <f>SUMIF(nhapdulieu!$E$15:$E$241,"x"&amp;tonkho!B37,nhapdulieu!$P$15:$P$241)</f>
        <v>0</v>
      </c>
      <c r="I37" s="9" t="str">
        <f t="shared" si="2"/>
        <v/>
      </c>
    </row>
    <row r="38" spans="1:9" s="9" customFormat="1">
      <c r="A38" s="9" t="str">
        <f t="shared" si="1"/>
        <v/>
      </c>
      <c r="B38" s="9" t="str">
        <f>IF(A38="","",VLOOKUP(A38,nhapdulieu!D41:R93,9,0))</f>
        <v/>
      </c>
      <c r="C38" s="9" t="str">
        <f>IF(A38="","",VLOOKUP(A38,nhapdulieu!D41:S93,10,0))</f>
        <v/>
      </c>
      <c r="D38" s="9" t="str">
        <f>IF(A38="","",VLOOKUP(C38,danhmuc!$C$5:$G$460,2,0))</f>
        <v/>
      </c>
      <c r="E38" s="9" t="str">
        <f>IF(A38="","",VLOOKUP(C38,danhmuc!$C$5:$G$122,3,0))</f>
        <v/>
      </c>
      <c r="F38" s="9" t="str">
        <f>IF(A38="","",VLOOKUP(B38,danhmuc!$G$5:$H$200,2,0)+SUMIF(nhapdulieu!$C$15:$C$67,"N"&amp;tonkho!B38,nhapdulieu!$P$15:$P$67)-SUMIF(nhapdulieu!$C$15:$C$67,"X"&amp;tonkho!B38,nhapdulieu!$P$15:$P$67))</f>
        <v/>
      </c>
      <c r="G38" s="9">
        <f>SUMIF(nhapdulieu!$E$15:$E$241,"N"&amp;tonkho!B38,nhapdulieu!$P$15:$P$241)</f>
        <v>0</v>
      </c>
      <c r="H38" s="9">
        <f>SUMIF(nhapdulieu!$E$15:$E$241,"x"&amp;tonkho!B38,nhapdulieu!$P$15:$P$241)</f>
        <v>0</v>
      </c>
      <c r="I38" s="9" t="str">
        <f t="shared" si="2"/>
        <v/>
      </c>
    </row>
    <row r="39" spans="1:9" s="9" customFormat="1">
      <c r="A39" s="9" t="str">
        <f t="shared" si="1"/>
        <v/>
      </c>
      <c r="B39" s="9" t="str">
        <f>IF(A39="","",VLOOKUP(A39,nhapdulieu!D42:R94,9,0))</f>
        <v/>
      </c>
      <c r="C39" s="9" t="str">
        <f>IF(A39="","",VLOOKUP(A39,nhapdulieu!D42:S94,10,0))</f>
        <v/>
      </c>
      <c r="D39" s="9" t="str">
        <f>IF(A39="","",VLOOKUP(C39,danhmuc!$C$5:$G$460,2,0))</f>
        <v/>
      </c>
      <c r="E39" s="9" t="str">
        <f>IF(A39="","",VLOOKUP(C39,danhmuc!$C$5:$G$122,3,0))</f>
        <v/>
      </c>
      <c r="F39" s="9" t="str">
        <f>IF(A39="","",VLOOKUP(B39,danhmuc!$G$5:$H$200,2,0)+SUMIF(nhapdulieu!$C$15:$C$67,"N"&amp;tonkho!B39,nhapdulieu!$P$15:$P$67)-SUMIF(nhapdulieu!$C$15:$C$67,"X"&amp;tonkho!B39,nhapdulieu!$P$15:$P$67))</f>
        <v/>
      </c>
      <c r="G39" s="9">
        <f>SUMIF(nhapdulieu!$E$15:$E$241,"N"&amp;tonkho!B39,nhapdulieu!$P$15:$P$241)</f>
        <v>0</v>
      </c>
      <c r="H39" s="9">
        <f>SUMIF(nhapdulieu!$E$15:$E$241,"x"&amp;tonkho!B39,nhapdulieu!$P$15:$P$241)</f>
        <v>0</v>
      </c>
      <c r="I39" s="9" t="str">
        <f t="shared" si="2"/>
        <v/>
      </c>
    </row>
    <row r="40" spans="1:9" s="9" customFormat="1">
      <c r="A40" s="9" t="str">
        <f t="shared" si="1"/>
        <v/>
      </c>
      <c r="B40" s="9" t="str">
        <f>IF(A40="","",VLOOKUP(A40,nhapdulieu!D43:R95,9,0))</f>
        <v/>
      </c>
      <c r="C40" s="9" t="str">
        <f>IF(A40="","",VLOOKUP(A40,nhapdulieu!D43:S95,10,0))</f>
        <v/>
      </c>
      <c r="D40" s="9" t="str">
        <f>IF(A40="","",VLOOKUP(C40,danhmuc!$C$5:$G$460,2,0))</f>
        <v/>
      </c>
      <c r="E40" s="9" t="str">
        <f>IF(A40="","",VLOOKUP(C40,danhmuc!$C$5:$G$122,3,0))</f>
        <v/>
      </c>
      <c r="F40" s="9" t="str">
        <f>IF(A40="","",VLOOKUP(B40,danhmuc!$G$5:$H$200,2,0)+SUMIF(nhapdulieu!$C$15:$C$67,"N"&amp;tonkho!B40,nhapdulieu!$P$15:$P$67)-SUMIF(nhapdulieu!$C$15:$C$67,"X"&amp;tonkho!B40,nhapdulieu!$P$15:$P$67))</f>
        <v/>
      </c>
      <c r="G40" s="9">
        <f>SUMIF(nhapdulieu!$E$15:$E$241,"N"&amp;tonkho!B40,nhapdulieu!$P$15:$P$241)</f>
        <v>0</v>
      </c>
      <c r="H40" s="9">
        <f>SUMIF(nhapdulieu!$E$15:$E$241,"x"&amp;tonkho!B40,nhapdulieu!$P$15:$P$241)</f>
        <v>0</v>
      </c>
      <c r="I40" s="9" t="str">
        <f t="shared" si="2"/>
        <v/>
      </c>
    </row>
    <row r="41" spans="1:9" s="9" customFormat="1">
      <c r="A41" s="9" t="str">
        <f t="shared" si="1"/>
        <v/>
      </c>
      <c r="B41" s="9" t="str">
        <f>IF(A41="","",VLOOKUP(A41,nhapdulieu!D44:R96,9,0))</f>
        <v/>
      </c>
      <c r="C41" s="9" t="str">
        <f>IF(A41="","",VLOOKUP(A41,nhapdulieu!D44:S96,10,0))</f>
        <v/>
      </c>
      <c r="D41" s="9" t="str">
        <f>IF(A41="","",VLOOKUP(C41,danhmuc!$C$5:$G$460,2,0))</f>
        <v/>
      </c>
      <c r="E41" s="9" t="str">
        <f>IF(A41="","",VLOOKUP(C41,danhmuc!$C$5:$G$122,3,0))</f>
        <v/>
      </c>
      <c r="F41" s="9" t="str">
        <f>IF(A41="","",VLOOKUP(B41,danhmuc!$G$5:$H$200,2,0)+SUMIF(nhapdulieu!$C$15:$C$67,"N"&amp;tonkho!B41,nhapdulieu!$P$15:$P$67)-SUMIF(nhapdulieu!$C$15:$C$67,"X"&amp;tonkho!B41,nhapdulieu!$P$15:$P$67))</f>
        <v/>
      </c>
      <c r="G41" s="9">
        <f>SUMIF(nhapdulieu!$E$15:$E$241,"N"&amp;tonkho!B41,nhapdulieu!$P$15:$P$241)</f>
        <v>0</v>
      </c>
      <c r="H41" s="9">
        <f>SUMIF(nhapdulieu!$E$15:$E$241,"x"&amp;tonkho!B41,nhapdulieu!$P$15:$P$241)</f>
        <v>0</v>
      </c>
      <c r="I41" s="9" t="str">
        <f t="shared" si="2"/>
        <v/>
      </c>
    </row>
    <row r="42" spans="1:9" s="9" customFormat="1">
      <c r="A42" s="9" t="str">
        <f t="shared" si="1"/>
        <v/>
      </c>
      <c r="B42" s="9" t="str">
        <f>IF(A42="","",VLOOKUP(A42,nhapdulieu!D45:R97,9,0))</f>
        <v/>
      </c>
      <c r="C42" s="9" t="str">
        <f>IF(A42="","",VLOOKUP(A42,nhapdulieu!D45:S97,10,0))</f>
        <v/>
      </c>
      <c r="D42" s="9" t="str">
        <f>IF(A42="","",VLOOKUP(C42,danhmuc!$C$5:$G$460,2,0))</f>
        <v/>
      </c>
      <c r="E42" s="9" t="str">
        <f>IF(A42="","",VLOOKUP(C42,danhmuc!$C$5:$G$122,3,0))</f>
        <v/>
      </c>
      <c r="F42" s="9" t="str">
        <f>IF(A42="","",VLOOKUP(B42,danhmuc!$G$5:$H$200,2,0)+SUMIF(nhapdulieu!$C$15:$C$67,"N"&amp;tonkho!B42,nhapdulieu!$P$15:$P$67)-SUMIF(nhapdulieu!$C$15:$C$67,"X"&amp;tonkho!B42,nhapdulieu!$P$15:$P$67))</f>
        <v/>
      </c>
      <c r="G42" s="9">
        <f>SUMIF(nhapdulieu!$E$15:$E$241,"N"&amp;tonkho!B42,nhapdulieu!$P$15:$P$241)</f>
        <v>0</v>
      </c>
      <c r="H42" s="9">
        <f>SUMIF(nhapdulieu!$E$15:$E$241,"x"&amp;tonkho!B42,nhapdulieu!$P$15:$P$241)</f>
        <v>0</v>
      </c>
      <c r="I42" s="9" t="str">
        <f t="shared" si="2"/>
        <v/>
      </c>
    </row>
    <row r="43" spans="1:9" s="9" customFormat="1">
      <c r="A43" s="9" t="str">
        <f t="shared" si="1"/>
        <v/>
      </c>
      <c r="B43" s="9" t="str">
        <f>IF(A43="","",VLOOKUP(A43,nhapdulieu!D46:R98,9,0))</f>
        <v/>
      </c>
      <c r="C43" s="9" t="str">
        <f>IF(A43="","",VLOOKUP(A43,nhapdulieu!D46:S98,10,0))</f>
        <v/>
      </c>
      <c r="D43" s="9" t="str">
        <f>IF(A43="","",VLOOKUP(C43,danhmuc!$C$5:$G$460,2,0))</f>
        <v/>
      </c>
      <c r="E43" s="9" t="str">
        <f>IF(A43="","",VLOOKUP(C43,danhmuc!$C$5:$G$122,3,0))</f>
        <v/>
      </c>
      <c r="F43" s="9" t="str">
        <f>IF(A43="","",VLOOKUP(B43,danhmuc!$G$5:$H$200,2,0)+SUMIF(nhapdulieu!$C$15:$C$67,"N"&amp;tonkho!B43,nhapdulieu!$P$15:$P$67)-SUMIF(nhapdulieu!$C$15:$C$67,"X"&amp;tonkho!B43,nhapdulieu!$P$15:$P$67))</f>
        <v/>
      </c>
      <c r="G43" s="9">
        <f>SUMIF(nhapdulieu!$E$15:$E$241,"N"&amp;tonkho!B43,nhapdulieu!$P$15:$P$241)</f>
        <v>0</v>
      </c>
      <c r="H43" s="9">
        <f>SUMIF(nhapdulieu!$E$15:$E$241,"x"&amp;tonkho!B43,nhapdulieu!$P$15:$P$241)</f>
        <v>0</v>
      </c>
      <c r="I43" s="9" t="str">
        <f t="shared" si="2"/>
        <v/>
      </c>
    </row>
    <row r="44" spans="1:9" s="9" customFormat="1">
      <c r="A44" s="9" t="str">
        <f t="shared" si="1"/>
        <v/>
      </c>
      <c r="B44" s="9" t="str">
        <f>IF(A44="","",VLOOKUP(A44,nhapdulieu!D47:R99,9,0))</f>
        <v/>
      </c>
      <c r="C44" s="9" t="str">
        <f>IF(A44="","",VLOOKUP(A44,nhapdulieu!D47:S99,10,0))</f>
        <v/>
      </c>
      <c r="D44" s="9" t="str">
        <f>IF(A44="","",VLOOKUP(C44,danhmuc!$C$5:$G$460,2,0))</f>
        <v/>
      </c>
      <c r="E44" s="9" t="str">
        <f>IF(A44="","",VLOOKUP(C44,danhmuc!$C$5:$G$122,3,0))</f>
        <v/>
      </c>
      <c r="F44" s="9" t="str">
        <f>IF(A44="","",VLOOKUP(B44,danhmuc!$G$5:$H$200,2,0)+SUMIF(nhapdulieu!$C$15:$C$67,"N"&amp;tonkho!B44,nhapdulieu!$P$15:$P$67)-SUMIF(nhapdulieu!$C$15:$C$67,"X"&amp;tonkho!B44,nhapdulieu!$P$15:$P$67))</f>
        <v/>
      </c>
      <c r="G44" s="9">
        <f>SUMIF(nhapdulieu!$E$15:$E$241,"N"&amp;tonkho!B44,nhapdulieu!$P$15:$P$241)</f>
        <v>0</v>
      </c>
      <c r="H44" s="9">
        <f>SUMIF(nhapdulieu!$E$15:$E$241,"x"&amp;tonkho!B44,nhapdulieu!$P$15:$P$241)</f>
        <v>0</v>
      </c>
      <c r="I44" s="9" t="str">
        <f t="shared" si="2"/>
        <v/>
      </c>
    </row>
    <row r="45" spans="1:9" s="9" customFormat="1">
      <c r="A45" s="9" t="str">
        <f t="shared" si="1"/>
        <v/>
      </c>
      <c r="B45" s="9" t="str">
        <f>IF(A45="","",VLOOKUP(A45,nhapdulieu!D48:R100,9,0))</f>
        <v/>
      </c>
      <c r="C45" s="9" t="str">
        <f>IF(A45="","",VLOOKUP(A45,nhapdulieu!D48:S100,10,0))</f>
        <v/>
      </c>
      <c r="D45" s="9" t="str">
        <f>IF(A45="","",VLOOKUP(C45,danhmuc!$C$5:$G$460,2,0))</f>
        <v/>
      </c>
      <c r="E45" s="9" t="str">
        <f>IF(A45="","",VLOOKUP(C45,danhmuc!$C$5:$G$122,3,0))</f>
        <v/>
      </c>
      <c r="F45" s="9" t="str">
        <f>IF(A45="","",VLOOKUP(B45,danhmuc!$G$5:$H$200,2,0)+SUMIF(nhapdulieu!$C$15:$C$67,"N"&amp;tonkho!B45,nhapdulieu!$P$15:$P$67)-SUMIF(nhapdulieu!$C$15:$C$67,"X"&amp;tonkho!B45,nhapdulieu!$P$15:$P$67))</f>
        <v/>
      </c>
      <c r="G45" s="9">
        <f>SUMIF(nhapdulieu!$E$15:$E$241,"N"&amp;tonkho!B45,nhapdulieu!$P$15:$P$241)</f>
        <v>0</v>
      </c>
      <c r="H45" s="9">
        <f>SUMIF(nhapdulieu!$E$15:$E$241,"x"&amp;tonkho!B45,nhapdulieu!$P$15:$P$241)</f>
        <v>0</v>
      </c>
      <c r="I45" s="9" t="str">
        <f t="shared" si="2"/>
        <v/>
      </c>
    </row>
    <row r="46" spans="1:9" s="9" customFormat="1">
      <c r="A46" s="9" t="str">
        <f t="shared" si="1"/>
        <v/>
      </c>
      <c r="B46" s="9" t="str">
        <f>IF(A46="","",VLOOKUP(A46,nhapdulieu!D49:R101,9,0))</f>
        <v/>
      </c>
      <c r="C46" s="9" t="str">
        <f>IF(A46="","",VLOOKUP(A46,nhapdulieu!D49:S101,10,0))</f>
        <v/>
      </c>
      <c r="D46" s="9" t="str">
        <f>IF(A46="","",VLOOKUP(C46,danhmuc!$C$5:$G$460,2,0))</f>
        <v/>
      </c>
      <c r="E46" s="9" t="str">
        <f>IF(A46="","",VLOOKUP(C46,danhmuc!$C$5:$G$122,3,0))</f>
        <v/>
      </c>
      <c r="F46" s="9" t="str">
        <f>IF(A46="","",VLOOKUP(B46,danhmuc!$G$5:$H$200,2,0)+SUMIF(nhapdulieu!$C$15:$C$67,"N"&amp;tonkho!B46,nhapdulieu!$P$15:$P$67)-SUMIF(nhapdulieu!$C$15:$C$67,"X"&amp;tonkho!B46,nhapdulieu!$P$15:$P$67))</f>
        <v/>
      </c>
      <c r="G46" s="9">
        <f>SUMIF(nhapdulieu!$E$15:$E$241,"N"&amp;tonkho!B46,nhapdulieu!$P$15:$P$241)</f>
        <v>0</v>
      </c>
      <c r="H46" s="9">
        <f>SUMIF(nhapdulieu!$E$15:$E$241,"x"&amp;tonkho!B46,nhapdulieu!$P$15:$P$241)</f>
        <v>0</v>
      </c>
      <c r="I46" s="9" t="str">
        <f t="shared" si="2"/>
        <v/>
      </c>
    </row>
    <row r="47" spans="1:9">
      <c r="A47" s="9" t="str">
        <f t="shared" si="1"/>
        <v/>
      </c>
      <c r="B47" s="9" t="str">
        <f>IF(A47="","",VLOOKUP(A47,nhapdulieu!D50:R102,9,0))</f>
        <v/>
      </c>
      <c r="C47" s="9" t="str">
        <f>IF(A47="","",VLOOKUP(A47,nhapdulieu!D50:S102,10,0))</f>
        <v/>
      </c>
      <c r="D47" s="9" t="str">
        <f>IF(A47="","",VLOOKUP(C47,danhmuc!$C$5:$G$460,2,0))</f>
        <v/>
      </c>
      <c r="E47" s="9" t="str">
        <f>IF(A47="","",VLOOKUP(C47,danhmuc!$C$5:$G$122,3,0))</f>
        <v/>
      </c>
      <c r="F47" s="9" t="str">
        <f>IF(A47="","",VLOOKUP(B47,danhmuc!$G$5:$H$200,2,0)+SUMIF(nhapdulieu!$C$15:$C$67,"N"&amp;tonkho!B47,nhapdulieu!$P$15:$P$67)-SUMIF(nhapdulieu!$C$15:$C$67,"X"&amp;tonkho!B47,nhapdulieu!$P$15:$P$67))</f>
        <v/>
      </c>
      <c r="G47" s="9">
        <f>SUMIF(nhapdulieu!$E$15:$E$241,"N"&amp;tonkho!B47,nhapdulieu!$P$15:$P$241)</f>
        <v>0</v>
      </c>
      <c r="H47" s="9">
        <f>SUMIF(nhapdulieu!$E$15:$E$241,"x"&amp;tonkho!B47,nhapdulieu!$P$15:$P$241)</f>
        <v>0</v>
      </c>
      <c r="I47" s="9" t="str">
        <f t="shared" si="2"/>
        <v/>
      </c>
    </row>
    <row r="48" spans="1:9">
      <c r="A48" s="9" t="str">
        <f t="shared" si="1"/>
        <v/>
      </c>
      <c r="B48" s="9" t="str">
        <f>IF(A48="","",VLOOKUP(A48,nhapdulieu!D51:R103,9,0))</f>
        <v/>
      </c>
      <c r="C48" s="9" t="str">
        <f>IF(A48="","",VLOOKUP(A48,nhapdulieu!D51:S103,10,0))</f>
        <v/>
      </c>
      <c r="D48" s="9" t="str">
        <f>IF(A48="","",VLOOKUP(C48,danhmuc!$C$5:$G$460,2,0))</f>
        <v/>
      </c>
      <c r="E48" s="9" t="str">
        <f>IF(A48="","",VLOOKUP(C48,danhmuc!$C$5:$G$122,3,0))</f>
        <v/>
      </c>
      <c r="F48" s="9" t="str">
        <f>IF(A48="","",VLOOKUP(B48,danhmuc!$G$5:$H$200,2,0)+SUMIF(nhapdulieu!$C$15:$C$67,"N"&amp;tonkho!B48,nhapdulieu!$P$15:$P$67)-SUMIF(nhapdulieu!$C$15:$C$67,"X"&amp;tonkho!B48,nhapdulieu!$P$15:$P$67))</f>
        <v/>
      </c>
      <c r="G48" s="9">
        <f>SUMIF(nhapdulieu!$E$15:$E$241,"N"&amp;tonkho!B48,nhapdulieu!$P$15:$P$241)</f>
        <v>0</v>
      </c>
      <c r="H48" s="9">
        <f>SUMIF(nhapdulieu!$E$15:$E$241,"x"&amp;tonkho!B48,nhapdulieu!$P$15:$P$241)</f>
        <v>0</v>
      </c>
      <c r="I48" s="9" t="str">
        <f t="shared" si="2"/>
        <v/>
      </c>
    </row>
    <row r="49" spans="1:9">
      <c r="A49" s="9" t="str">
        <f t="shared" si="1"/>
        <v/>
      </c>
      <c r="B49" s="9" t="str">
        <f>IF(A49="","",VLOOKUP(A49,nhapdulieu!D52:R104,9,0))</f>
        <v/>
      </c>
      <c r="C49" s="9" t="str">
        <f>IF(A49="","",VLOOKUP(A49,nhapdulieu!D52:S104,10,0))</f>
        <v/>
      </c>
      <c r="D49" s="9" t="str">
        <f>IF(A49="","",VLOOKUP(C49,danhmuc!$C$5:$G$460,2,0))</f>
        <v/>
      </c>
      <c r="E49" s="9" t="str">
        <f>IF(A49="","",VLOOKUP(C49,danhmuc!$C$5:$G$122,3,0))</f>
        <v/>
      </c>
      <c r="F49" s="9" t="str">
        <f>IF(A49="","",VLOOKUP(B49,danhmuc!$G$5:$H$200,2,0)+SUMIF(nhapdulieu!$C$15:$C$67,"N"&amp;tonkho!B49,nhapdulieu!$P$15:$P$67)-SUMIF(nhapdulieu!$C$15:$C$67,"X"&amp;tonkho!B49,nhapdulieu!$P$15:$P$67))</f>
        <v/>
      </c>
      <c r="G49" s="9">
        <f>SUMIF(nhapdulieu!$E$15:$E$241,"N"&amp;tonkho!B49,nhapdulieu!$P$15:$P$241)</f>
        <v>0</v>
      </c>
      <c r="H49" s="9">
        <f>SUMIF(nhapdulieu!$E$15:$E$241,"x"&amp;tonkho!B49,nhapdulieu!$P$15:$P$241)</f>
        <v>0</v>
      </c>
      <c r="I49" s="9" t="str">
        <f t="shared" si="2"/>
        <v/>
      </c>
    </row>
    <row r="50" spans="1:9">
      <c r="A50" s="9" t="str">
        <f t="shared" si="1"/>
        <v/>
      </c>
      <c r="B50" s="9" t="str">
        <f>IF(A50="","",VLOOKUP(A50,nhapdulieu!D53:R105,9,0))</f>
        <v/>
      </c>
      <c r="C50" s="9" t="str">
        <f>IF(A50="","",VLOOKUP(A50,nhapdulieu!D53:S105,10,0))</f>
        <v/>
      </c>
      <c r="D50" s="9" t="str">
        <f>IF(A50="","",VLOOKUP(C50,danhmuc!$C$5:$G$460,2,0))</f>
        <v/>
      </c>
      <c r="E50" s="9" t="str">
        <f>IF(A50="","",VLOOKUP(C50,danhmuc!$C$5:$G$122,3,0))</f>
        <v/>
      </c>
      <c r="F50" s="9" t="str">
        <f>IF(A50="","",VLOOKUP(B50,danhmuc!$G$5:$H$200,2,0)+SUMIF(nhapdulieu!$C$15:$C$67,"N"&amp;tonkho!B50,nhapdulieu!$P$15:$P$67)-SUMIF(nhapdulieu!$C$15:$C$67,"X"&amp;tonkho!B50,nhapdulieu!$P$15:$P$67))</f>
        <v/>
      </c>
      <c r="G50" s="9">
        <f>SUMIF(nhapdulieu!$E$15:$E$241,"N"&amp;tonkho!B50,nhapdulieu!$P$15:$P$241)</f>
        <v>0</v>
      </c>
      <c r="H50" s="9">
        <f>SUMIF(nhapdulieu!$E$15:$E$241,"x"&amp;tonkho!B50,nhapdulieu!$P$15:$P$241)</f>
        <v>0</v>
      </c>
      <c r="I50" s="9" t="str">
        <f t="shared" si="2"/>
        <v/>
      </c>
    </row>
    <row r="51" spans="1:9">
      <c r="A51" s="9" t="str">
        <f t="shared" si="1"/>
        <v/>
      </c>
      <c r="B51" s="9" t="str">
        <f>IF(A51="","",VLOOKUP(A51,nhapdulieu!D54:R106,9,0))</f>
        <v/>
      </c>
      <c r="C51" s="9" t="str">
        <f>IF(A51="","",VLOOKUP(A51,nhapdulieu!D54:S106,10,0))</f>
        <v/>
      </c>
      <c r="D51" s="9" t="str">
        <f>IF(A51="","",VLOOKUP(C51,danhmuc!$C$5:$G$460,2,0))</f>
        <v/>
      </c>
      <c r="E51" s="9" t="str">
        <f>IF(A51="","",VLOOKUP(C51,danhmuc!$C$5:$G$122,3,0))</f>
        <v/>
      </c>
      <c r="F51" s="9" t="str">
        <f>IF(A51="","",VLOOKUP(B51,danhmuc!$G$5:$H$200,2,0)+SUMIF(nhapdulieu!$C$15:$C$67,"N"&amp;tonkho!B51,nhapdulieu!$P$15:$P$67)-SUMIF(nhapdulieu!$C$15:$C$67,"X"&amp;tonkho!B51,nhapdulieu!$P$15:$P$67))</f>
        <v/>
      </c>
      <c r="G51" s="9">
        <f>SUMIF(nhapdulieu!$E$15:$E$241,"N"&amp;tonkho!B51,nhapdulieu!$P$15:$P$241)</f>
        <v>0</v>
      </c>
      <c r="H51" s="9">
        <f>SUMIF(nhapdulieu!$E$15:$E$241,"x"&amp;tonkho!B51,nhapdulieu!$P$15:$P$241)</f>
        <v>0</v>
      </c>
      <c r="I51" s="9" t="str">
        <f t="shared" si="2"/>
        <v/>
      </c>
    </row>
    <row r="52" spans="1:9">
      <c r="A52" s="9" t="str">
        <f t="shared" si="1"/>
        <v/>
      </c>
      <c r="B52" s="9" t="str">
        <f>IF(A52="","",VLOOKUP(A52,nhapdulieu!D55:R107,9,0))</f>
        <v/>
      </c>
      <c r="C52" s="9" t="str">
        <f>IF(A52="","",VLOOKUP(A52,nhapdulieu!D55:S107,10,0))</f>
        <v/>
      </c>
      <c r="D52" s="9" t="str">
        <f>IF(A52="","",VLOOKUP(C52,danhmuc!$C$5:$G$460,2,0))</f>
        <v/>
      </c>
      <c r="E52" s="9" t="str">
        <f>IF(A52="","",VLOOKUP(C52,danhmuc!$C$5:$G$122,3,0))</f>
        <v/>
      </c>
      <c r="F52" s="9" t="str">
        <f>IF(A52="","",VLOOKUP(B52,danhmuc!$G$5:$H$200,2,0)+SUMIF(nhapdulieu!$C$15:$C$67,"N"&amp;tonkho!B52,nhapdulieu!$P$15:$P$67)-SUMIF(nhapdulieu!$C$15:$C$67,"X"&amp;tonkho!B52,nhapdulieu!$P$15:$P$67))</f>
        <v/>
      </c>
      <c r="G52" s="9">
        <f>SUMIF(nhapdulieu!$E$15:$E$241,"N"&amp;tonkho!B52,nhapdulieu!$P$15:$P$241)</f>
        <v>0</v>
      </c>
      <c r="H52" s="9">
        <f>SUMIF(nhapdulieu!$E$15:$E$241,"x"&amp;tonkho!B52,nhapdulieu!$P$15:$P$241)</f>
        <v>0</v>
      </c>
      <c r="I52" s="9" t="str">
        <f t="shared" si="2"/>
        <v/>
      </c>
    </row>
    <row r="53" spans="1:9">
      <c r="A53" s="9" t="str">
        <f t="shared" si="1"/>
        <v/>
      </c>
      <c r="B53" s="9" t="str">
        <f>IF(A53="","",VLOOKUP(A53,nhapdulieu!D56:R108,9,0))</f>
        <v/>
      </c>
      <c r="C53" s="9" t="str">
        <f>IF(A53="","",VLOOKUP(A53,nhapdulieu!D56:S108,10,0))</f>
        <v/>
      </c>
      <c r="D53" s="9" t="str">
        <f>IF(A53="","",VLOOKUP(C53,danhmuc!$C$5:$G$460,2,0))</f>
        <v/>
      </c>
      <c r="E53" s="9" t="str">
        <f>IF(A53="","",VLOOKUP(C53,danhmuc!$C$5:$G$122,3,0))</f>
        <v/>
      </c>
      <c r="F53" s="9" t="str">
        <f>IF(A53="","",VLOOKUP(B53,danhmuc!$G$5:$H$200,2,0)+SUMIF(nhapdulieu!$C$15:$C$67,"N"&amp;tonkho!B53,nhapdulieu!$P$15:$P$67)-SUMIF(nhapdulieu!$C$15:$C$67,"X"&amp;tonkho!B53,nhapdulieu!$P$15:$P$67))</f>
        <v/>
      </c>
      <c r="G53" s="9">
        <f>SUMIF(nhapdulieu!$E$15:$E$241,"N"&amp;tonkho!B53,nhapdulieu!$P$15:$P$241)</f>
        <v>0</v>
      </c>
      <c r="H53" s="9">
        <f>SUMIF(nhapdulieu!$E$15:$E$241,"x"&amp;tonkho!B53,nhapdulieu!$P$15:$P$241)</f>
        <v>0</v>
      </c>
      <c r="I53" s="9" t="str">
        <f t="shared" si="2"/>
        <v/>
      </c>
    </row>
    <row r="54" spans="1:9">
      <c r="A54" s="9" t="str">
        <f t="shared" si="1"/>
        <v/>
      </c>
      <c r="B54" s="9" t="str">
        <f>IF(A54="","",VLOOKUP(A54,nhapdulieu!D57:R109,9,0))</f>
        <v/>
      </c>
      <c r="C54" s="9" t="str">
        <f>IF(A54="","",VLOOKUP(A54,nhapdulieu!D57:S109,10,0))</f>
        <v/>
      </c>
      <c r="D54" s="9" t="str">
        <f>IF(A54="","",VLOOKUP(C54,danhmuc!$C$5:$G$460,2,0))</f>
        <v/>
      </c>
      <c r="E54" s="9" t="str">
        <f>IF(A54="","",VLOOKUP(C54,danhmuc!$C$5:$G$122,3,0))</f>
        <v/>
      </c>
      <c r="F54" s="9" t="str">
        <f>IF(A54="","",VLOOKUP(B54,danhmuc!$G$5:$H$200,2,0)+SUMIF(nhapdulieu!$C$15:$C$67,"N"&amp;tonkho!B54,nhapdulieu!$P$15:$P$67)-SUMIF(nhapdulieu!$C$15:$C$67,"X"&amp;tonkho!B54,nhapdulieu!$P$15:$P$67))</f>
        <v/>
      </c>
      <c r="G54" s="9">
        <f>SUMIF(nhapdulieu!$E$15:$E$241,"N"&amp;tonkho!B54,nhapdulieu!$P$15:$P$241)</f>
        <v>0</v>
      </c>
      <c r="H54" s="9">
        <f>SUMIF(nhapdulieu!$E$15:$E$241,"x"&amp;tonkho!B54,nhapdulieu!$P$15:$P$241)</f>
        <v>0</v>
      </c>
      <c r="I54" s="9" t="str">
        <f t="shared" si="2"/>
        <v/>
      </c>
    </row>
    <row r="55" spans="1:9" ht="6" customHeight="1">
      <c r="A55" s="25"/>
      <c r="B55" s="25"/>
      <c r="C55" s="25"/>
      <c r="D55" s="25"/>
      <c r="E55" s="25"/>
      <c r="F55" s="25"/>
      <c r="G55" s="25"/>
      <c r="H55" s="25"/>
      <c r="I55" s="25"/>
    </row>
  </sheetData>
  <mergeCells count="2">
    <mergeCell ref="B10:I10"/>
    <mergeCell ref="D5:E6"/>
  </mergeCells>
  <hyperlinks>
    <hyperlink ref="B7" location="home!A1" display="home"/>
    <hyperlink ref="B6" location="thekho!A1" display="thekho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2"/>
  <sheetViews>
    <sheetView workbookViewId="0">
      <selection activeCell="E9" sqref="E9"/>
    </sheetView>
  </sheetViews>
  <sheetFormatPr defaultRowHeight="15.75"/>
  <cols>
    <col min="1" max="1" width="4.125" customWidth="1"/>
    <col min="2" max="2" width="8.25" customWidth="1"/>
    <col min="3" max="3" width="11.875" customWidth="1"/>
    <col min="4" max="4" width="16" customWidth="1"/>
    <col min="5" max="5" width="12.25" customWidth="1"/>
    <col min="6" max="6" width="12.25" style="9" customWidth="1"/>
    <col min="7" max="7" width="11.875" customWidth="1"/>
    <col min="8" max="8" width="9.875" customWidth="1"/>
  </cols>
  <sheetData>
    <row r="1" spans="1:9">
      <c r="C1" s="9" t="s">
        <v>301</v>
      </c>
    </row>
    <row r="2" spans="1:9" ht="17.25" customHeight="1">
      <c r="C2" s="9" t="s">
        <v>302</v>
      </c>
    </row>
    <row r="3" spans="1:9" s="9" customFormat="1" ht="17.25" customHeight="1">
      <c r="C3" s="9" t="s">
        <v>303</v>
      </c>
    </row>
    <row r="5" spans="1:9" s="9" customFormat="1">
      <c r="E5" s="63" t="s">
        <v>7</v>
      </c>
      <c r="F5" s="64"/>
    </row>
    <row r="6" spans="1:9">
      <c r="C6" s="10" t="s">
        <v>158</v>
      </c>
      <c r="E6" s="65"/>
      <c r="F6" s="66"/>
    </row>
    <row r="7" spans="1:9" s="9" customFormat="1" ht="15" customHeight="1">
      <c r="C7" s="10"/>
      <c r="E7" s="41"/>
      <c r="F7" s="41"/>
    </row>
    <row r="8" spans="1:9">
      <c r="B8" s="9"/>
      <c r="C8" s="9" t="s">
        <v>295</v>
      </c>
      <c r="D8" s="3" t="s">
        <v>281</v>
      </c>
      <c r="E8" s="27">
        <v>41641</v>
      </c>
    </row>
    <row r="9" spans="1:9">
      <c r="D9" s="3" t="s">
        <v>191</v>
      </c>
      <c r="E9" s="27">
        <v>41761</v>
      </c>
      <c r="F9" s="27"/>
      <c r="G9" s="3" t="s">
        <v>12</v>
      </c>
      <c r="H9" s="36" t="str">
        <f>VLOOKUP(D11,danhmuc!$C$5:$E$122,3,0)</f>
        <v>pcs</v>
      </c>
    </row>
    <row r="10" spans="1:9">
      <c r="B10" s="9"/>
      <c r="C10" t="str">
        <f>VLOOKUP(D11,danhmuc!$C$5:$G$122,5,0)</f>
        <v>HH-T027NL</v>
      </c>
      <c r="D10" s="62"/>
      <c r="E10" s="62"/>
      <c r="F10" s="37"/>
      <c r="H10" s="36"/>
      <c r="I10" s="36"/>
    </row>
    <row r="11" spans="1:9">
      <c r="C11" s="35" t="s">
        <v>178</v>
      </c>
      <c r="D11" s="36" t="s">
        <v>43</v>
      </c>
      <c r="E11" s="3" t="s">
        <v>179</v>
      </c>
      <c r="F11" s="3"/>
      <c r="G11" s="36" t="str">
        <f>VLOOKUP(D11,danhmuc!$C$5:$D$122,2,0)</f>
        <v>743*60*60</v>
      </c>
      <c r="I11" s="36"/>
    </row>
    <row r="12" spans="1:9">
      <c r="B12" s="9"/>
      <c r="D12" s="36"/>
      <c r="E12" s="36"/>
      <c r="F12" s="36"/>
      <c r="G12" s="36"/>
      <c r="H12" s="36"/>
      <c r="I12" s="36"/>
    </row>
    <row r="13" spans="1:9">
      <c r="A13" s="36"/>
      <c r="B13" s="36"/>
      <c r="C13" s="36"/>
      <c r="D13" s="36"/>
      <c r="E13" s="36"/>
      <c r="F13" s="36"/>
      <c r="G13" s="36"/>
      <c r="H13" s="36"/>
      <c r="I13" s="36"/>
    </row>
    <row r="14" spans="1:9" s="9" customFormat="1">
      <c r="A14" s="51" t="s">
        <v>289</v>
      </c>
      <c r="B14" s="51"/>
      <c r="C14" s="51"/>
      <c r="D14" s="51"/>
      <c r="E14" s="51"/>
      <c r="F14" s="51"/>
      <c r="G14" s="51"/>
      <c r="H14" s="51" t="s">
        <v>290</v>
      </c>
      <c r="I14" s="51"/>
    </row>
    <row r="15" spans="1:9">
      <c r="A15" s="30" t="s">
        <v>282</v>
      </c>
      <c r="B15" s="30" t="s">
        <v>283</v>
      </c>
      <c r="C15" s="30" t="s">
        <v>284</v>
      </c>
      <c r="D15" s="30" t="s">
        <v>285</v>
      </c>
      <c r="E15" s="34" t="s">
        <v>299</v>
      </c>
      <c r="F15" s="34" t="s">
        <v>300</v>
      </c>
      <c r="G15" s="30" t="s">
        <v>286</v>
      </c>
      <c r="H15" s="30" t="s">
        <v>287</v>
      </c>
      <c r="I15" s="30" t="s">
        <v>288</v>
      </c>
    </row>
    <row r="16" spans="1:9">
      <c r="A16" t="str">
        <f>IF(ROW(A1)&gt;A52,"",ROW(A1))</f>
        <v/>
      </c>
      <c r="B16" t="str">
        <f>IF(A16="","",VLOOKUP(A16,nhapdulieu!$B$15:$R$67,14,0))</f>
        <v/>
      </c>
      <c r="C16" s="9" t="str">
        <f>IF(A16="","",VLOOKUP(A16,nhapdulieu!$B$15:$R$67,6,0))</f>
        <v/>
      </c>
      <c r="D16" s="9" t="str">
        <f>IF(A16="","",VLOOKUP(A16,nhapdulieu!$B$15:$R$67,9,0))</f>
        <v/>
      </c>
      <c r="E16" t="str">
        <f>IF(A16="","",IF(B16="N",VLOOKUP(A16,nhapdulieu!B15:R67,15,0),""))</f>
        <v/>
      </c>
      <c r="F16" s="9" t="str">
        <f>IF(A16="","",IF(B16="X",VLOOKUP(A16,nhapdulieu!C15:S67,15,0),""))</f>
        <v/>
      </c>
      <c r="G16" s="9" t="str">
        <f>IF(A16="","",VLOOKUP(A16,nhapdulieu!$B$15:$R$67,9,0))</f>
        <v/>
      </c>
      <c r="H16" s="9" t="str">
        <f>IF(A16="","",VLOOKUP(A16,nhapdulieu!$B$15:$R$67,16,0))</f>
        <v/>
      </c>
      <c r="I16" s="9" t="str">
        <f>IF(C16="","",VLOOKUP(C16,nhapdulieu!$B$15:$R$67,17,0))</f>
        <v/>
      </c>
    </row>
    <row r="17" spans="1:9">
      <c r="A17" s="9" t="str">
        <f>IF(ROW(A2)&gt;A53,"",ROW(A2))</f>
        <v/>
      </c>
      <c r="B17" s="9" t="str">
        <f>IF(A17="","",VLOOKUP(A17,nhapdulieu!$B$15:$R$67,14,0))</f>
        <v/>
      </c>
      <c r="C17" s="9" t="str">
        <f>IF(A17="","",VLOOKUP(A17,nhapdulieu!$B$15:$R$67,6,0))</f>
        <v/>
      </c>
      <c r="D17" s="9" t="str">
        <f>IF(A17="","",VLOOKUP(A17,nhapdulieu!$B$15:$R$67,9,0))</f>
        <v/>
      </c>
      <c r="E17" s="9" t="str">
        <f>IF(A17="","",IF(B17="N",VLOOKUP(A17,nhapdulieu!B16:R68,15,0),""))</f>
        <v/>
      </c>
      <c r="F17" s="9" t="str">
        <f>IF(A17="","",IF(B17="X",VLOOKUP(A17,nhapdulieu!C16:S68,15,0),""))</f>
        <v/>
      </c>
      <c r="G17" s="9" t="str">
        <f>IF(A17="","",VLOOKUP(A17,nhapdulieu!$B$15:$R$67,9,0))</f>
        <v/>
      </c>
      <c r="H17" s="9" t="str">
        <f>IF(A17="","",VLOOKUP(A17,nhapdulieu!$B$15:$R$67,16,0))</f>
        <v/>
      </c>
      <c r="I17" s="9" t="str">
        <f>IF(C17="","",VLOOKUP(C17,nhapdulieu!$B$15:$R$67,17,0))</f>
        <v/>
      </c>
    </row>
    <row r="18" spans="1:9">
      <c r="A18" s="9" t="str">
        <f>IF(ROW(A4)&gt;A54,"",ROW(A4))</f>
        <v/>
      </c>
      <c r="B18" s="9" t="str">
        <f>IF(A18="","",VLOOKUP(A18,nhapdulieu!$B$15:$R$67,14,0))</f>
        <v/>
      </c>
      <c r="C18" s="9" t="str">
        <f>IF(A18="","",VLOOKUP(A18,nhapdulieu!$B$15:$R$67,6,0))</f>
        <v/>
      </c>
      <c r="D18" s="9" t="str">
        <f>IF(A18="","",VLOOKUP(A18,nhapdulieu!$B$15:$R$67,9,0))</f>
        <v/>
      </c>
      <c r="E18" s="9" t="str">
        <f>IF(A18="","",IF(B18="N",VLOOKUP(A18,nhapdulieu!B17:R69,15,0),""))</f>
        <v/>
      </c>
      <c r="F18" s="9" t="str">
        <f>IF(A18="","",IF(B18="X",VLOOKUP(A18,nhapdulieu!C17:S69,15,0),""))</f>
        <v/>
      </c>
      <c r="G18" s="9" t="str">
        <f>IF(A18="","",VLOOKUP(A18,nhapdulieu!$B$15:$R$67,9,0))</f>
        <v/>
      </c>
      <c r="H18" s="9" t="str">
        <f>IF(A18="","",VLOOKUP(A18,nhapdulieu!$B$15:$R$67,16,0))</f>
        <v/>
      </c>
      <c r="I18" s="9" t="str">
        <f>IF(C18="","",VLOOKUP(C18,nhapdulieu!$B$15:$R$67,17,0))</f>
        <v/>
      </c>
    </row>
    <row r="19" spans="1:9">
      <c r="A19" s="9" t="str">
        <f>IF(ROW(A6)&gt;A55,"",ROW(A6))</f>
        <v/>
      </c>
      <c r="B19" s="9" t="str">
        <f>IF(A19="","",VLOOKUP(A19,nhapdulieu!$B$15:$R$67,14,0))</f>
        <v/>
      </c>
      <c r="C19" s="9" t="str">
        <f>IF(A19="","",VLOOKUP(A19,nhapdulieu!$B$15:$R$67,6,0))</f>
        <v/>
      </c>
      <c r="D19" s="9" t="str">
        <f>IF(A19="","",VLOOKUP(A19,nhapdulieu!$B$15:$R$67,9,0))</f>
        <v/>
      </c>
      <c r="E19" s="9" t="str">
        <f>IF(A19="","",IF(B19="N",VLOOKUP(A19,nhapdulieu!B18:R70,15,0),""))</f>
        <v/>
      </c>
      <c r="F19" s="9" t="str">
        <f>IF(A19="","",IF(B19="X",VLOOKUP(A19,nhapdulieu!C18:S70,15,0),""))</f>
        <v/>
      </c>
      <c r="G19" s="9" t="str">
        <f>IF(A19="","",VLOOKUP(A19,nhapdulieu!$B$15:$R$67,9,0))</f>
        <v/>
      </c>
      <c r="H19" s="9" t="str">
        <f>IF(A19="","",VLOOKUP(A19,nhapdulieu!$B$15:$R$67,16,0))</f>
        <v/>
      </c>
      <c r="I19" s="9" t="str">
        <f>IF(C19="","",VLOOKUP(C19,nhapdulieu!$B$15:$R$67,17,0))</f>
        <v/>
      </c>
    </row>
    <row r="20" spans="1:9">
      <c r="A20" s="9" t="str">
        <f t="shared" ref="A20:A51" si="0">IF(ROW(A8)&gt;A56,"",ROW(A8))</f>
        <v/>
      </c>
      <c r="B20" s="9" t="str">
        <f>IF(A20="","",VLOOKUP(A20,nhapdulieu!$B$15:$R$67,14,0))</f>
        <v/>
      </c>
      <c r="C20" s="9" t="str">
        <f>IF(A20="","",VLOOKUP(A20,nhapdulieu!$B$15:$R$67,6,0))</f>
        <v/>
      </c>
      <c r="D20" s="9" t="str">
        <f>IF(A20="","",VLOOKUP(A20,nhapdulieu!$B$15:$R$67,9,0))</f>
        <v/>
      </c>
      <c r="E20" s="9" t="str">
        <f>IF(A20="","",IF(B20="N",VLOOKUP(A20,nhapdulieu!B19:R71,15,0),""))</f>
        <v/>
      </c>
      <c r="F20" s="9" t="str">
        <f>IF(A20="","",IF(B20="X",VLOOKUP(A20,nhapdulieu!C19:S71,15,0),""))</f>
        <v/>
      </c>
      <c r="G20" s="9" t="str">
        <f>IF(A20="","",VLOOKUP(A20,nhapdulieu!$B$15:$R$67,9,0))</f>
        <v/>
      </c>
      <c r="H20" s="9" t="str">
        <f>IF(A20="","",VLOOKUP(A20,nhapdulieu!$B$15:$R$67,16,0))</f>
        <v/>
      </c>
      <c r="I20" s="9" t="str">
        <f>IF(C20="","",VLOOKUP(C20,nhapdulieu!$B$15:$R$67,17,0))</f>
        <v/>
      </c>
    </row>
    <row r="21" spans="1:9">
      <c r="A21" s="9" t="str">
        <f>IF(ROW(C6)&gt;A57,"",ROW(C6))</f>
        <v/>
      </c>
      <c r="B21" s="9" t="str">
        <f>IF(A21="","",VLOOKUP(A21,nhapdulieu!$B$15:$R$67,14,0))</f>
        <v/>
      </c>
      <c r="C21" s="9" t="str">
        <f>IF(A21="","",VLOOKUP(A21,nhapdulieu!$B$15:$R$67,6,0))</f>
        <v/>
      </c>
      <c r="D21" s="9" t="str">
        <f>IF(A21="","",VLOOKUP(A21,nhapdulieu!$B$15:$R$67,9,0))</f>
        <v/>
      </c>
      <c r="E21" s="9" t="str">
        <f>IF(A21="","",IF(B21="N",VLOOKUP(A21,nhapdulieu!B20:R72,15,0),""))</f>
        <v/>
      </c>
      <c r="F21" s="9" t="str">
        <f>IF(A21="","",IF(B21="X",VLOOKUP(A21,nhapdulieu!C20:S72,15,0),""))</f>
        <v/>
      </c>
      <c r="G21" s="9" t="str">
        <f>IF(A21="","",VLOOKUP(A21,nhapdulieu!$B$15:$R$67,9,0))</f>
        <v/>
      </c>
      <c r="H21" s="9" t="str">
        <f>IF(A21="","",VLOOKUP(A21,nhapdulieu!$B$15:$R$67,16,0))</f>
        <v/>
      </c>
      <c r="I21" s="9" t="str">
        <f>IF(C21="","",VLOOKUP(C21,nhapdulieu!$B$15:$R$67,17,0))</f>
        <v/>
      </c>
    </row>
    <row r="22" spans="1:9">
      <c r="A22" s="9" t="str">
        <f t="shared" si="0"/>
        <v/>
      </c>
      <c r="B22" s="9" t="str">
        <f>IF(A22="","",VLOOKUP(A22,nhapdulieu!$B$15:$R$67,14,0))</f>
        <v/>
      </c>
      <c r="C22" s="9" t="str">
        <f>IF(A22="","",VLOOKUP(A22,nhapdulieu!$B$15:$R$67,6,0))</f>
        <v/>
      </c>
      <c r="D22" s="9" t="str">
        <f>IF(A22="","",VLOOKUP(A22,nhapdulieu!$B$15:$R$67,9,0))</f>
        <v/>
      </c>
      <c r="E22" s="9" t="str">
        <f>IF(A22="","",IF(B22="N",VLOOKUP(A22,nhapdulieu!B21:R73,15,0),""))</f>
        <v/>
      </c>
      <c r="F22" s="9" t="str">
        <f>IF(A22="","",IF(B22="X",VLOOKUP(A22,nhapdulieu!C21:S73,15,0),""))</f>
        <v/>
      </c>
      <c r="G22" s="9" t="str">
        <f>IF(A22="","",VLOOKUP(A22,nhapdulieu!$B$15:$R$67,9,0))</f>
        <v/>
      </c>
      <c r="H22" s="9" t="str">
        <f>IF(A22="","",VLOOKUP(A22,nhapdulieu!$B$15:$R$67,16,0))</f>
        <v/>
      </c>
      <c r="I22" s="9" t="str">
        <f>IF(C22="","",VLOOKUP(C22,nhapdulieu!$B$15:$R$67,17,0))</f>
        <v/>
      </c>
    </row>
    <row r="23" spans="1:9">
      <c r="A23" s="9" t="str">
        <f>IF(ROW(C8)&gt;A59,"",ROW(C8))</f>
        <v/>
      </c>
      <c r="B23" s="9" t="str">
        <f>IF(A23="","",VLOOKUP(A23,nhapdulieu!$B$15:$R$67,14,0))</f>
        <v/>
      </c>
      <c r="C23" s="9" t="str">
        <f>IF(A23="","",VLOOKUP(A23,nhapdulieu!$B$15:$R$67,6,0))</f>
        <v/>
      </c>
      <c r="D23" s="9" t="str">
        <f>IF(A23="","",VLOOKUP(A23,nhapdulieu!$B$15:$R$67,9,0))</f>
        <v/>
      </c>
      <c r="E23" s="9" t="str">
        <f>IF(A23="","",IF(B23="N",VLOOKUP(A23,nhapdulieu!B22:R74,15,0),""))</f>
        <v/>
      </c>
      <c r="F23" s="9" t="str">
        <f>IF(A23="","",IF(B23="X",VLOOKUP(A23,nhapdulieu!C22:S74,15,0),""))</f>
        <v/>
      </c>
      <c r="G23" s="9" t="str">
        <f>IF(A23="","",VLOOKUP(A23,nhapdulieu!$B$15:$R$67,9,0))</f>
        <v/>
      </c>
      <c r="H23" s="9" t="str">
        <f>IF(A23="","",VLOOKUP(A23,nhapdulieu!$B$15:$R$67,16,0))</f>
        <v/>
      </c>
      <c r="I23" s="9" t="str">
        <f>IF(C23="","",VLOOKUP(C23,nhapdulieu!$B$15:$R$67,17,0))</f>
        <v/>
      </c>
    </row>
    <row r="24" spans="1:9">
      <c r="A24" s="9" t="str">
        <f t="shared" si="0"/>
        <v/>
      </c>
      <c r="B24" s="9" t="str">
        <f>IF(A24="","",VLOOKUP(A24,nhapdulieu!$B$15:$R$67,14,0))</f>
        <v/>
      </c>
      <c r="C24" s="9" t="str">
        <f>IF(A24="","",VLOOKUP(A24,nhapdulieu!$B$15:$R$67,6,0))</f>
        <v/>
      </c>
      <c r="D24" s="9" t="str">
        <f>IF(A24="","",VLOOKUP(A24,nhapdulieu!$B$15:$R$67,9,0))</f>
        <v/>
      </c>
      <c r="E24" s="9" t="str">
        <f>IF(A24="","",IF(B24="N",VLOOKUP(A24,nhapdulieu!B23:R75,15,0),""))</f>
        <v/>
      </c>
      <c r="F24" s="9" t="str">
        <f>IF(A24="","",IF(B24="X",VLOOKUP(A24,nhapdulieu!C23:S75,15,0),""))</f>
        <v/>
      </c>
      <c r="G24" s="9" t="str">
        <f>IF(A24="","",VLOOKUP(A24,nhapdulieu!$B$15:$R$67,9,0))</f>
        <v/>
      </c>
      <c r="H24" s="9" t="str">
        <f>IF(A24="","",VLOOKUP(A24,nhapdulieu!$B$15:$R$67,16,0))</f>
        <v/>
      </c>
      <c r="I24" s="9" t="str">
        <f>IF(C24="","",VLOOKUP(C24,nhapdulieu!$B$15:$R$67,17,0))</f>
        <v/>
      </c>
    </row>
    <row r="25" spans="1:9">
      <c r="A25" s="9" t="str">
        <f t="shared" si="0"/>
        <v/>
      </c>
      <c r="B25" s="9" t="str">
        <f>IF(A25="","",VLOOKUP(A25,nhapdulieu!$B$15:$R$67,14,0))</f>
        <v/>
      </c>
      <c r="C25" s="9" t="str">
        <f>IF(A25="","",VLOOKUP(A25,nhapdulieu!$B$15:$R$67,6,0))</f>
        <v/>
      </c>
      <c r="D25" s="9" t="str">
        <f>IF(A25="","",VLOOKUP(A25,nhapdulieu!$B$15:$R$67,9,0))</f>
        <v/>
      </c>
      <c r="E25" s="9" t="str">
        <f>IF(A25="","",IF(B25="N",VLOOKUP(A25,nhapdulieu!B24:R76,15,0),""))</f>
        <v/>
      </c>
      <c r="F25" s="9" t="str">
        <f>IF(A25="","",IF(B25="X",VLOOKUP(A25,nhapdulieu!C24:S76,15,0),""))</f>
        <v/>
      </c>
      <c r="G25" s="9" t="str">
        <f>IF(A25="","",VLOOKUP(A25,nhapdulieu!$B$15:$R$67,9,0))</f>
        <v/>
      </c>
      <c r="H25" s="9" t="str">
        <f>IF(A25="","",VLOOKUP(A25,nhapdulieu!$B$15:$R$67,16,0))</f>
        <v/>
      </c>
      <c r="I25" s="9" t="str">
        <f>IF(C25="","",VLOOKUP(C25,nhapdulieu!$B$15:$R$67,17,0))</f>
        <v/>
      </c>
    </row>
    <row r="26" spans="1:9">
      <c r="A26" s="9" t="str">
        <f t="shared" si="0"/>
        <v/>
      </c>
      <c r="B26" s="9" t="str">
        <f>IF(A26="","",VLOOKUP(A26,nhapdulieu!$B$15:$R$67,14,0))</f>
        <v/>
      </c>
      <c r="C26" s="9" t="str">
        <f>IF(A26="","",VLOOKUP(A26,nhapdulieu!$B$15:$R$67,6,0))</f>
        <v/>
      </c>
      <c r="D26" s="9" t="str">
        <f>IF(A26="","",VLOOKUP(A26,nhapdulieu!$B$15:$R$67,9,0))</f>
        <v/>
      </c>
      <c r="E26" s="9" t="str">
        <f>IF(A26="","",IF(B26="N",VLOOKUP(A26,nhapdulieu!B25:R77,15,0),""))</f>
        <v/>
      </c>
      <c r="F26" s="9" t="str">
        <f>IF(A26="","",IF(B26="X",VLOOKUP(A26,nhapdulieu!C25:S77,15,0),""))</f>
        <v/>
      </c>
      <c r="G26" s="9" t="str">
        <f>IF(A26="","",VLOOKUP(A26,nhapdulieu!$B$15:$R$67,9,0))</f>
        <v/>
      </c>
      <c r="H26" s="9" t="str">
        <f>IF(A26="","",VLOOKUP(A26,nhapdulieu!$B$15:$R$67,16,0))</f>
        <v/>
      </c>
      <c r="I26" s="9" t="str">
        <f>IF(C26="","",VLOOKUP(C26,nhapdulieu!$B$15:$R$67,17,0))</f>
        <v/>
      </c>
    </row>
    <row r="27" spans="1:9">
      <c r="A27" s="9" t="str">
        <f t="shared" si="0"/>
        <v/>
      </c>
      <c r="B27" s="9" t="str">
        <f>IF(A27="","",VLOOKUP(A27,nhapdulieu!$B$15:$R$67,14,0))</f>
        <v/>
      </c>
      <c r="C27" s="9" t="str">
        <f>IF(A27="","",VLOOKUP(A27,nhapdulieu!$B$15:$R$67,6,0))</f>
        <v/>
      </c>
      <c r="D27" s="9" t="str">
        <f>IF(A27="","",VLOOKUP(A27,nhapdulieu!$B$15:$R$67,9,0))</f>
        <v/>
      </c>
      <c r="E27" s="9" t="str">
        <f>IF(A27="","",IF(B27="N",VLOOKUP(A27,nhapdulieu!B26:R78,15,0),""))</f>
        <v/>
      </c>
      <c r="F27" s="9" t="str">
        <f>IF(A27="","",IF(B27="X",VLOOKUP(A27,nhapdulieu!C26:S78,15,0),""))</f>
        <v/>
      </c>
      <c r="G27" s="9" t="str">
        <f>IF(A27="","",VLOOKUP(A27,nhapdulieu!$B$15:$R$67,9,0))</f>
        <v/>
      </c>
      <c r="H27" s="9" t="str">
        <f>IF(A27="","",VLOOKUP(A27,nhapdulieu!$B$15:$R$67,16,0))</f>
        <v/>
      </c>
      <c r="I27" s="9" t="str">
        <f>IF(C27="","",VLOOKUP(C27,nhapdulieu!$B$15:$R$67,17,0))</f>
        <v/>
      </c>
    </row>
    <row r="28" spans="1:9">
      <c r="A28" s="9" t="str">
        <f t="shared" si="0"/>
        <v/>
      </c>
      <c r="B28" s="9" t="str">
        <f>IF(A28="","",VLOOKUP(A28,nhapdulieu!$B$15:$R$67,14,0))</f>
        <v/>
      </c>
      <c r="C28" s="9" t="str">
        <f>IF(A28="","",VLOOKUP(A28,nhapdulieu!$B$15:$R$67,6,0))</f>
        <v/>
      </c>
      <c r="D28" s="9" t="str">
        <f>IF(A28="","",VLOOKUP(A28,nhapdulieu!$B$15:$R$67,9,0))</f>
        <v/>
      </c>
      <c r="E28" s="9" t="str">
        <f>IF(A28="","",IF(B28="N",VLOOKUP(A28,nhapdulieu!B27:R79,15,0),""))</f>
        <v/>
      </c>
      <c r="F28" s="9" t="str">
        <f>IF(A28="","",IF(B28="X",VLOOKUP(A28,nhapdulieu!C27:S79,15,0),""))</f>
        <v/>
      </c>
      <c r="G28" s="9" t="str">
        <f>IF(A28="","",VLOOKUP(A28,nhapdulieu!$B$15:$R$67,9,0))</f>
        <v/>
      </c>
      <c r="H28" s="9" t="str">
        <f>IF(A28="","",VLOOKUP(A28,nhapdulieu!$B$15:$R$67,16,0))</f>
        <v/>
      </c>
      <c r="I28" s="9" t="str">
        <f>IF(C28="","",VLOOKUP(C28,nhapdulieu!$B$15:$R$67,17,0))</f>
        <v/>
      </c>
    </row>
    <row r="29" spans="1:9">
      <c r="A29" s="9" t="str">
        <f t="shared" si="0"/>
        <v/>
      </c>
      <c r="B29" s="9" t="str">
        <f>IF(A29="","",VLOOKUP(A29,nhapdulieu!$B$15:$R$67,14,0))</f>
        <v/>
      </c>
      <c r="C29" s="9" t="str">
        <f>IF(A29="","",VLOOKUP(A29,nhapdulieu!$B$15:$R$67,6,0))</f>
        <v/>
      </c>
      <c r="D29" s="9" t="str">
        <f>IF(A29="","",VLOOKUP(A29,nhapdulieu!$B$15:$R$67,9,0))</f>
        <v/>
      </c>
      <c r="E29" s="9" t="str">
        <f>IF(A29="","",IF(B29="N",VLOOKUP(A29,nhapdulieu!B28:R80,15,0),""))</f>
        <v/>
      </c>
      <c r="F29" s="9" t="str">
        <f>IF(A29="","",IF(B29="X",VLOOKUP(A29,nhapdulieu!C28:S80,15,0),""))</f>
        <v/>
      </c>
      <c r="G29" s="9" t="str">
        <f>IF(A29="","",VLOOKUP(A29,nhapdulieu!$B$15:$R$67,9,0))</f>
        <v/>
      </c>
      <c r="H29" s="9" t="str">
        <f>IF(A29="","",VLOOKUP(A29,nhapdulieu!$B$15:$R$67,16,0))</f>
        <v/>
      </c>
      <c r="I29" s="9" t="str">
        <f>IF(C29="","",VLOOKUP(C29,nhapdulieu!$B$15:$R$67,17,0))</f>
        <v/>
      </c>
    </row>
    <row r="30" spans="1:9">
      <c r="A30" s="9" t="str">
        <f t="shared" si="0"/>
        <v/>
      </c>
      <c r="B30" s="9" t="str">
        <f>IF(A30="","",VLOOKUP(A30,nhapdulieu!$B$15:$R$67,14,0))</f>
        <v/>
      </c>
      <c r="C30" s="9" t="str">
        <f>IF(A30="","",VLOOKUP(A30,nhapdulieu!$B$15:$R$67,6,0))</f>
        <v/>
      </c>
      <c r="D30" s="9" t="str">
        <f>IF(A30="","",VLOOKUP(A30,nhapdulieu!$B$15:$R$67,9,0))</f>
        <v/>
      </c>
      <c r="E30" s="9" t="str">
        <f>IF(A30="","",IF(B30="N",VLOOKUP(A30,nhapdulieu!B29:R81,15,0),""))</f>
        <v/>
      </c>
      <c r="F30" s="9" t="str">
        <f>IF(A30="","",IF(B30="X",VLOOKUP(A30,nhapdulieu!C29:S81,15,0),""))</f>
        <v/>
      </c>
      <c r="G30" s="9" t="str">
        <f>IF(A30="","",VLOOKUP(A30,nhapdulieu!$B$15:$R$67,9,0))</f>
        <v/>
      </c>
      <c r="H30" s="9" t="str">
        <f>IF(A30="","",VLOOKUP(A30,nhapdulieu!$B$15:$R$67,16,0))</f>
        <v/>
      </c>
      <c r="I30" s="9" t="str">
        <f>IF(C30="","",VLOOKUP(C30,nhapdulieu!$B$15:$R$67,17,0))</f>
        <v/>
      </c>
    </row>
    <row r="31" spans="1:9">
      <c r="A31" s="9" t="str">
        <f t="shared" si="0"/>
        <v/>
      </c>
      <c r="B31" s="9" t="str">
        <f>IF(A31="","",VLOOKUP(A31,nhapdulieu!$B$15:$R$67,14,0))</f>
        <v/>
      </c>
      <c r="C31" s="9" t="str">
        <f>IF(A31="","",VLOOKUP(A31,nhapdulieu!$B$15:$R$67,6,0))</f>
        <v/>
      </c>
      <c r="D31" s="9" t="str">
        <f>IF(A31="","",VLOOKUP(A31,nhapdulieu!$B$15:$R$67,9,0))</f>
        <v/>
      </c>
      <c r="E31" s="9" t="str">
        <f>IF(A31="","",IF(B31="N",VLOOKUP(A31,nhapdulieu!B30:R82,15,0),""))</f>
        <v/>
      </c>
      <c r="F31" s="9" t="str">
        <f>IF(A31="","",IF(B31="X",VLOOKUP(A31,nhapdulieu!C30:S82,15,0),""))</f>
        <v/>
      </c>
      <c r="G31" s="9" t="str">
        <f>IF(A31="","",VLOOKUP(A31,nhapdulieu!$B$15:$R$67,9,0))</f>
        <v/>
      </c>
      <c r="H31" s="9" t="str">
        <f>IF(A31="","",VLOOKUP(A31,nhapdulieu!$B$15:$R$67,16,0))</f>
        <v/>
      </c>
      <c r="I31" s="9" t="str">
        <f>IF(C31="","",VLOOKUP(C31,nhapdulieu!$B$15:$R$67,17,0))</f>
        <v/>
      </c>
    </row>
    <row r="32" spans="1:9">
      <c r="A32" s="9" t="str">
        <f t="shared" si="0"/>
        <v/>
      </c>
      <c r="B32" s="9" t="str">
        <f>IF(A32="","",VLOOKUP(A32,nhapdulieu!$B$15:$R$67,14,0))</f>
        <v/>
      </c>
      <c r="C32" s="9" t="str">
        <f>IF(A32="","",VLOOKUP(A32,nhapdulieu!$B$15:$R$67,6,0))</f>
        <v/>
      </c>
      <c r="D32" s="9" t="str">
        <f>IF(A32="","",VLOOKUP(A32,nhapdulieu!$B$15:$R$67,9,0))</f>
        <v/>
      </c>
      <c r="E32" s="9" t="str">
        <f>IF(A32="","",IF(B32="N",VLOOKUP(A32,nhapdulieu!B31:R83,15,0),""))</f>
        <v/>
      </c>
      <c r="F32" s="9" t="str">
        <f>IF(A32="","",IF(B32="X",VLOOKUP(A32,nhapdulieu!C31:S83,15,0),""))</f>
        <v/>
      </c>
      <c r="G32" s="9" t="str">
        <f>IF(A32="","",VLOOKUP(A32,nhapdulieu!$B$15:$R$67,9,0))</f>
        <v/>
      </c>
      <c r="H32" s="9" t="str">
        <f>IF(A32="","",VLOOKUP(A32,nhapdulieu!$B$15:$R$67,16,0))</f>
        <v/>
      </c>
      <c r="I32" s="9" t="str">
        <f>IF(C32="","",VLOOKUP(C32,nhapdulieu!$B$15:$R$67,17,0))</f>
        <v/>
      </c>
    </row>
    <row r="33" spans="1:9">
      <c r="A33" s="9" t="str">
        <f t="shared" si="0"/>
        <v/>
      </c>
      <c r="B33" s="9" t="str">
        <f>IF(A33="","",VLOOKUP(A33,nhapdulieu!$B$15:$R$67,14,0))</f>
        <v/>
      </c>
      <c r="C33" s="9" t="str">
        <f>IF(A33="","",VLOOKUP(A33,nhapdulieu!$B$15:$R$67,6,0))</f>
        <v/>
      </c>
      <c r="D33" s="9" t="str">
        <f>IF(A33="","",VLOOKUP(A33,nhapdulieu!$B$15:$R$67,9,0))</f>
        <v/>
      </c>
      <c r="E33" s="9" t="str">
        <f>IF(A33="","",IF(B33="N",VLOOKUP(A33,nhapdulieu!B32:R84,15,0),""))</f>
        <v/>
      </c>
      <c r="F33" s="9" t="str">
        <f>IF(A33="","",IF(B33="X",VLOOKUP(A33,nhapdulieu!C32:S84,15,0),""))</f>
        <v/>
      </c>
      <c r="G33" s="9" t="str">
        <f>IF(A33="","",VLOOKUP(A33,nhapdulieu!$B$15:$R$67,9,0))</f>
        <v/>
      </c>
      <c r="H33" s="9" t="str">
        <f>IF(A33="","",VLOOKUP(A33,nhapdulieu!$B$15:$R$67,16,0))</f>
        <v/>
      </c>
      <c r="I33" s="9" t="str">
        <f>IF(C33="","",VLOOKUP(C33,nhapdulieu!$B$15:$R$67,17,0))</f>
        <v/>
      </c>
    </row>
    <row r="34" spans="1:9">
      <c r="A34" s="9" t="str">
        <f t="shared" si="0"/>
        <v/>
      </c>
      <c r="B34" s="9" t="str">
        <f>IF(A34="","",VLOOKUP(A34,nhapdulieu!$B$15:$R$67,14,0))</f>
        <v/>
      </c>
      <c r="C34" s="9" t="str">
        <f>IF(A34="","",VLOOKUP(A34,nhapdulieu!$B$15:$R$67,6,0))</f>
        <v/>
      </c>
      <c r="D34" s="9" t="str">
        <f>IF(A34="","",VLOOKUP(A34,nhapdulieu!$B$15:$R$67,9,0))</f>
        <v/>
      </c>
      <c r="E34" s="9" t="str">
        <f>IF(A34="","",IF(B34="N",VLOOKUP(A34,nhapdulieu!B33:R85,15,0),""))</f>
        <v/>
      </c>
      <c r="F34" s="9" t="str">
        <f>IF(A34="","",IF(B34="X",VLOOKUP(A34,nhapdulieu!C33:S85,15,0),""))</f>
        <v/>
      </c>
      <c r="G34" s="9" t="str">
        <f>IF(A34="","",VLOOKUP(A34,nhapdulieu!$B$15:$R$67,9,0))</f>
        <v/>
      </c>
      <c r="H34" s="9" t="str">
        <f>IF(A34="","",VLOOKUP(A34,nhapdulieu!$B$15:$R$67,16,0))</f>
        <v/>
      </c>
      <c r="I34" s="9" t="str">
        <f>IF(C34="","",VLOOKUP(C34,nhapdulieu!$B$15:$R$67,17,0))</f>
        <v/>
      </c>
    </row>
    <row r="35" spans="1:9">
      <c r="A35" s="9" t="str">
        <f t="shared" si="0"/>
        <v/>
      </c>
      <c r="B35" s="9" t="str">
        <f>IF(A35="","",VLOOKUP(A35,nhapdulieu!$B$15:$R$67,14,0))</f>
        <v/>
      </c>
      <c r="C35" s="9" t="str">
        <f>IF(A35="","",VLOOKUP(A35,nhapdulieu!$B$15:$R$67,6,0))</f>
        <v/>
      </c>
      <c r="D35" s="9" t="str">
        <f>IF(A35="","",VLOOKUP(A35,nhapdulieu!$B$15:$R$67,9,0))</f>
        <v/>
      </c>
      <c r="E35" s="9" t="str">
        <f>IF(A35="","",IF(B35="N",VLOOKUP(A35,nhapdulieu!B34:R86,15,0),""))</f>
        <v/>
      </c>
      <c r="F35" s="9" t="str">
        <f>IF(A35="","",IF(B35="X",VLOOKUP(A35,nhapdulieu!C34:S86,15,0),""))</f>
        <v/>
      </c>
      <c r="G35" s="9" t="str">
        <f>IF(A35="","",VLOOKUP(A35,nhapdulieu!$B$15:$R$67,9,0))</f>
        <v/>
      </c>
      <c r="H35" s="9" t="str">
        <f>IF(A35="","",VLOOKUP(A35,nhapdulieu!$B$15:$R$67,16,0))</f>
        <v/>
      </c>
      <c r="I35" s="9" t="str">
        <f>IF(C35="","",VLOOKUP(C35,nhapdulieu!$B$15:$R$67,17,0))</f>
        <v/>
      </c>
    </row>
    <row r="36" spans="1:9">
      <c r="A36" s="9" t="str">
        <f t="shared" si="0"/>
        <v/>
      </c>
      <c r="B36" s="9" t="str">
        <f>IF(A36="","",VLOOKUP(A36,nhapdulieu!$B$15:$R$67,14,0))</f>
        <v/>
      </c>
      <c r="C36" s="9" t="str">
        <f>IF(A36="","",VLOOKUP(A36,nhapdulieu!$B$15:$R$67,6,0))</f>
        <v/>
      </c>
      <c r="D36" s="9" t="str">
        <f>IF(A36="","",VLOOKUP(A36,nhapdulieu!$B$15:$R$67,9,0))</f>
        <v/>
      </c>
      <c r="E36" s="9" t="str">
        <f>IF(A36="","",IF(B36="N",VLOOKUP(A36,nhapdulieu!B35:R87,15,0),""))</f>
        <v/>
      </c>
      <c r="F36" s="9" t="str">
        <f>IF(A36="","",IF(B36="X",VLOOKUP(A36,nhapdulieu!C35:S87,15,0),""))</f>
        <v/>
      </c>
      <c r="G36" s="9" t="str">
        <f>IF(A36="","",VLOOKUP(A36,nhapdulieu!$B$15:$R$67,9,0))</f>
        <v/>
      </c>
      <c r="H36" s="9" t="str">
        <f>IF(A36="","",VLOOKUP(A36,nhapdulieu!$B$15:$R$67,16,0))</f>
        <v/>
      </c>
      <c r="I36" s="9" t="str">
        <f>IF(C36="","",VLOOKUP(C36,nhapdulieu!$B$15:$R$67,17,0))</f>
        <v/>
      </c>
    </row>
    <row r="37" spans="1:9">
      <c r="A37" s="9" t="str">
        <f t="shared" si="0"/>
        <v/>
      </c>
      <c r="B37" s="9" t="str">
        <f>IF(A37="","",VLOOKUP(A37,nhapdulieu!$B$15:$R$67,14,0))</f>
        <v/>
      </c>
      <c r="C37" s="9" t="str">
        <f>IF(A37="","",VLOOKUP(A37,nhapdulieu!$B$15:$R$67,6,0))</f>
        <v/>
      </c>
      <c r="D37" s="9" t="str">
        <f>IF(A37="","",VLOOKUP(A37,nhapdulieu!$B$15:$R$67,9,0))</f>
        <v/>
      </c>
      <c r="E37" s="9" t="str">
        <f>IF(A37="","",IF(B37="N",VLOOKUP(A37,nhapdulieu!B36:R88,15,0),""))</f>
        <v/>
      </c>
      <c r="F37" s="9" t="str">
        <f>IF(A37="","",IF(B37="X",VLOOKUP(A37,nhapdulieu!C36:S88,15,0),""))</f>
        <v/>
      </c>
      <c r="G37" s="9" t="str">
        <f>IF(A37="","",VLOOKUP(A37,nhapdulieu!$B$15:$R$67,9,0))</f>
        <v/>
      </c>
      <c r="H37" s="9" t="str">
        <f>IF(A37="","",VLOOKUP(A37,nhapdulieu!$B$15:$R$67,16,0))</f>
        <v/>
      </c>
      <c r="I37" s="9" t="str">
        <f>IF(C37="","",VLOOKUP(C37,nhapdulieu!$B$15:$R$67,17,0))</f>
        <v/>
      </c>
    </row>
    <row r="38" spans="1:9">
      <c r="A38" s="9" t="str">
        <f t="shared" si="0"/>
        <v/>
      </c>
      <c r="B38" s="9" t="str">
        <f>IF(A38="","",VLOOKUP(A38,nhapdulieu!$B$15:$R$67,14,0))</f>
        <v/>
      </c>
      <c r="C38" s="9" t="str">
        <f>IF(A38="","",VLOOKUP(A38,nhapdulieu!$B$15:$R$67,6,0))</f>
        <v/>
      </c>
      <c r="D38" s="9" t="str">
        <f>IF(A38="","",VLOOKUP(A38,nhapdulieu!$B$15:$R$67,9,0))</f>
        <v/>
      </c>
      <c r="E38" s="9" t="str">
        <f>IF(A38="","",IF(B38="N",VLOOKUP(A38,nhapdulieu!B37:R89,15,0),""))</f>
        <v/>
      </c>
      <c r="F38" s="9" t="str">
        <f>IF(A38="","",IF(B38="X",VLOOKUP(A38,nhapdulieu!C37:S89,15,0),""))</f>
        <v/>
      </c>
      <c r="G38" s="9" t="str">
        <f>IF(A38="","",VLOOKUP(A38,nhapdulieu!$B$15:$R$67,9,0))</f>
        <v/>
      </c>
      <c r="H38" s="9" t="str">
        <f>IF(A38="","",VLOOKUP(A38,nhapdulieu!$B$15:$R$67,16,0))</f>
        <v/>
      </c>
      <c r="I38" s="9" t="str">
        <f>IF(C38="","",VLOOKUP(C38,nhapdulieu!$B$15:$R$67,17,0))</f>
        <v/>
      </c>
    </row>
    <row r="39" spans="1:9">
      <c r="A39" s="9" t="str">
        <f t="shared" si="0"/>
        <v/>
      </c>
      <c r="B39" s="9" t="str">
        <f>IF(A39="","",VLOOKUP(A39,nhapdulieu!$B$15:$R$67,14,0))</f>
        <v/>
      </c>
      <c r="C39" s="9" t="str">
        <f>IF(A39="","",VLOOKUP(A39,nhapdulieu!$B$15:$R$67,6,0))</f>
        <v/>
      </c>
      <c r="D39" s="9" t="str">
        <f>IF(A39="","",VLOOKUP(A39,nhapdulieu!$B$15:$R$67,9,0))</f>
        <v/>
      </c>
      <c r="E39" s="9" t="str">
        <f>IF(A39="","",IF(B39="N",VLOOKUP(A39,nhapdulieu!B38:R90,15,0),""))</f>
        <v/>
      </c>
      <c r="F39" s="9" t="str">
        <f>IF(A39="","",IF(B39="X",VLOOKUP(A39,nhapdulieu!C38:S90,15,0),""))</f>
        <v/>
      </c>
      <c r="G39" s="9" t="str">
        <f>IF(A39="","",VLOOKUP(A39,nhapdulieu!$B$15:$R$67,9,0))</f>
        <v/>
      </c>
      <c r="H39" s="9" t="str">
        <f>IF(A39="","",VLOOKUP(A39,nhapdulieu!$B$15:$R$67,16,0))</f>
        <v/>
      </c>
      <c r="I39" s="9" t="str">
        <f>IF(C39="","",VLOOKUP(C39,nhapdulieu!$B$15:$R$67,17,0))</f>
        <v/>
      </c>
    </row>
    <row r="40" spans="1:9">
      <c r="A40" s="9" t="str">
        <f t="shared" si="0"/>
        <v/>
      </c>
      <c r="B40" s="9" t="str">
        <f>IF(A40="","",VLOOKUP(A40,nhapdulieu!$B$15:$R$67,14,0))</f>
        <v/>
      </c>
      <c r="C40" s="9" t="str">
        <f>IF(A40="","",VLOOKUP(A40,nhapdulieu!$B$15:$R$67,6,0))</f>
        <v/>
      </c>
      <c r="D40" s="9" t="str">
        <f>IF(A40="","",VLOOKUP(A40,nhapdulieu!$B$15:$R$67,9,0))</f>
        <v/>
      </c>
      <c r="E40" s="9" t="str">
        <f>IF(A40="","",IF(B40="N",VLOOKUP(A40,nhapdulieu!B39:R91,15,0),""))</f>
        <v/>
      </c>
      <c r="F40" s="9" t="str">
        <f>IF(A40="","",IF(B40="X",VLOOKUP(A40,nhapdulieu!C39:S91,15,0),""))</f>
        <v/>
      </c>
      <c r="G40" s="9" t="str">
        <f>IF(A40="","",VLOOKUP(A40,nhapdulieu!$B$15:$R$67,9,0))</f>
        <v/>
      </c>
      <c r="H40" s="9" t="str">
        <f>IF(A40="","",VLOOKUP(A40,nhapdulieu!$B$15:$R$67,16,0))</f>
        <v/>
      </c>
      <c r="I40" s="9" t="str">
        <f>IF(C40="","",VLOOKUP(C40,nhapdulieu!$B$15:$R$67,17,0))</f>
        <v/>
      </c>
    </row>
    <row r="41" spans="1:9">
      <c r="A41" s="9" t="str">
        <f t="shared" si="0"/>
        <v/>
      </c>
      <c r="B41" s="9" t="str">
        <f>IF(A41="","",VLOOKUP(A41,nhapdulieu!$B$15:$R$67,14,0))</f>
        <v/>
      </c>
      <c r="C41" s="9" t="str">
        <f>IF(A41="","",VLOOKUP(A41,nhapdulieu!$B$15:$R$67,6,0))</f>
        <v/>
      </c>
      <c r="D41" s="9" t="str">
        <f>IF(A41="","",VLOOKUP(A41,nhapdulieu!$B$15:$R$67,9,0))</f>
        <v/>
      </c>
      <c r="E41" s="9" t="str">
        <f>IF(A41="","",IF(B41="N",VLOOKUP(A41,nhapdulieu!B40:R92,15,0),""))</f>
        <v/>
      </c>
      <c r="F41" s="9" t="str">
        <f>IF(A41="","",IF(B41="X",VLOOKUP(A41,nhapdulieu!C40:S92,15,0),""))</f>
        <v/>
      </c>
      <c r="G41" s="9" t="str">
        <f>IF(A41="","",VLOOKUP(A41,nhapdulieu!$B$15:$R$67,9,0))</f>
        <v/>
      </c>
      <c r="H41" s="9" t="str">
        <f>IF(A41="","",VLOOKUP(A41,nhapdulieu!$B$15:$R$67,16,0))</f>
        <v/>
      </c>
      <c r="I41" s="9" t="str">
        <f>IF(C41="","",VLOOKUP(C41,nhapdulieu!$B$15:$R$67,17,0))</f>
        <v/>
      </c>
    </row>
    <row r="42" spans="1:9">
      <c r="A42" s="9" t="str">
        <f t="shared" si="0"/>
        <v/>
      </c>
      <c r="B42" s="9" t="str">
        <f>IF(A42="","",VLOOKUP(A42,nhapdulieu!$B$15:$R$67,14,0))</f>
        <v/>
      </c>
      <c r="C42" s="9" t="str">
        <f>IF(A42="","",VLOOKUP(A42,nhapdulieu!$B$15:$R$67,6,0))</f>
        <v/>
      </c>
      <c r="D42" s="9" t="str">
        <f>IF(A42="","",VLOOKUP(A42,nhapdulieu!$B$15:$R$67,9,0))</f>
        <v/>
      </c>
      <c r="E42" s="9" t="str">
        <f>IF(A42="","",IF(B42="N",VLOOKUP(A42,nhapdulieu!B41:R93,15,0),""))</f>
        <v/>
      </c>
      <c r="F42" s="9" t="str">
        <f>IF(A42="","",IF(B42="X",VLOOKUP(A42,nhapdulieu!C41:S93,15,0),""))</f>
        <v/>
      </c>
      <c r="G42" s="9" t="str">
        <f>IF(A42="","",VLOOKUP(A42,nhapdulieu!$B$15:$R$67,9,0))</f>
        <v/>
      </c>
      <c r="H42" s="9" t="str">
        <f>IF(A42="","",VLOOKUP(A42,nhapdulieu!$B$15:$R$67,16,0))</f>
        <v/>
      </c>
      <c r="I42" s="9" t="str">
        <f>IF(C42="","",VLOOKUP(C42,nhapdulieu!$B$15:$R$67,17,0))</f>
        <v/>
      </c>
    </row>
    <row r="43" spans="1:9">
      <c r="A43" s="9" t="str">
        <f t="shared" si="0"/>
        <v/>
      </c>
      <c r="B43" s="9" t="str">
        <f>IF(A43="","",VLOOKUP(A43,nhapdulieu!$B$15:$R$67,14,0))</f>
        <v/>
      </c>
      <c r="C43" s="9" t="str">
        <f>IF(A43="","",VLOOKUP(A43,nhapdulieu!$B$15:$R$67,6,0))</f>
        <v/>
      </c>
      <c r="D43" s="9" t="str">
        <f>IF(A43="","",VLOOKUP(A43,nhapdulieu!$B$15:$R$67,9,0))</f>
        <v/>
      </c>
      <c r="E43" s="9" t="str">
        <f>IF(A43="","",IF(B43="N",VLOOKUP(A43,nhapdulieu!B42:R94,15,0),""))</f>
        <v/>
      </c>
      <c r="F43" s="9" t="str">
        <f>IF(A43="","",IF(B43="X",VLOOKUP(A43,nhapdulieu!C42:S94,15,0),""))</f>
        <v/>
      </c>
      <c r="G43" s="9" t="str">
        <f>IF(A43="","",VLOOKUP(A43,nhapdulieu!$B$15:$R$67,9,0))</f>
        <v/>
      </c>
      <c r="H43" s="9" t="str">
        <f>IF(A43="","",VLOOKUP(A43,nhapdulieu!$B$15:$R$67,16,0))</f>
        <v/>
      </c>
      <c r="I43" s="9" t="str">
        <f>IF(C43="","",VLOOKUP(C43,nhapdulieu!$B$15:$R$67,17,0))</f>
        <v/>
      </c>
    </row>
    <row r="44" spans="1:9">
      <c r="A44" s="9" t="str">
        <f t="shared" si="0"/>
        <v/>
      </c>
      <c r="B44" s="9" t="str">
        <f>IF(A44="","",VLOOKUP(A44,nhapdulieu!$B$15:$R$67,14,0))</f>
        <v/>
      </c>
      <c r="C44" s="9" t="str">
        <f>IF(A44="","",VLOOKUP(A44,nhapdulieu!$B$15:$R$67,6,0))</f>
        <v/>
      </c>
      <c r="D44" s="9" t="str">
        <f>IF(A44="","",VLOOKUP(A44,nhapdulieu!$B$15:$R$67,9,0))</f>
        <v/>
      </c>
      <c r="E44" s="9" t="str">
        <f>IF(A44="","",IF(B44="N",VLOOKUP(A44,nhapdulieu!B43:R95,15,0),""))</f>
        <v/>
      </c>
      <c r="F44" s="9" t="str">
        <f>IF(A44="","",IF(B44="X",VLOOKUP(A44,nhapdulieu!C43:S95,15,0),""))</f>
        <v/>
      </c>
      <c r="G44" s="9" t="str">
        <f>IF(A44="","",VLOOKUP(A44,nhapdulieu!$B$15:$R$67,9,0))</f>
        <v/>
      </c>
      <c r="H44" s="9" t="str">
        <f>IF(A44="","",VLOOKUP(A44,nhapdulieu!$B$15:$R$67,16,0))</f>
        <v/>
      </c>
      <c r="I44" s="9" t="str">
        <f>IF(C44="","",VLOOKUP(C44,nhapdulieu!$B$15:$R$67,17,0))</f>
        <v/>
      </c>
    </row>
    <row r="45" spans="1:9">
      <c r="A45" s="9" t="str">
        <f t="shared" si="0"/>
        <v/>
      </c>
      <c r="B45" s="9" t="str">
        <f>IF(A45="","",VLOOKUP(A45,nhapdulieu!$B$15:$R$67,14,0))</f>
        <v/>
      </c>
      <c r="C45" s="9" t="str">
        <f>IF(A45="","",VLOOKUP(A45,nhapdulieu!$B$15:$R$67,6,0))</f>
        <v/>
      </c>
      <c r="D45" s="9" t="str">
        <f>IF(A45="","",VLOOKUP(A45,nhapdulieu!$B$15:$R$67,9,0))</f>
        <v/>
      </c>
      <c r="E45" s="9" t="str">
        <f>IF(A45="","",IF(B45="N",VLOOKUP(A45,nhapdulieu!B44:R96,15,0),""))</f>
        <v/>
      </c>
      <c r="F45" s="9" t="str">
        <f>IF(A45="","",IF(B45="X",VLOOKUP(A45,nhapdulieu!C44:S96,15,0),""))</f>
        <v/>
      </c>
      <c r="G45" s="9" t="str">
        <f>IF(A45="","",VLOOKUP(A45,nhapdulieu!$B$15:$R$67,9,0))</f>
        <v/>
      </c>
      <c r="H45" s="9" t="str">
        <f>IF(A45="","",VLOOKUP(A45,nhapdulieu!$B$15:$R$67,16,0))</f>
        <v/>
      </c>
      <c r="I45" s="9" t="str">
        <f>IF(C45="","",VLOOKUP(C45,nhapdulieu!$B$15:$R$67,17,0))</f>
        <v/>
      </c>
    </row>
    <row r="46" spans="1:9">
      <c r="A46" s="9" t="str">
        <f t="shared" si="0"/>
        <v/>
      </c>
      <c r="B46" s="9" t="str">
        <f>IF(A46="","",VLOOKUP(A46,nhapdulieu!$B$15:$R$67,14,0))</f>
        <v/>
      </c>
      <c r="C46" s="9" t="str">
        <f>IF(A46="","",VLOOKUP(A46,nhapdulieu!$B$15:$R$67,6,0))</f>
        <v/>
      </c>
      <c r="D46" s="9" t="str">
        <f>IF(A46="","",VLOOKUP(A46,nhapdulieu!$B$15:$R$67,9,0))</f>
        <v/>
      </c>
      <c r="E46" s="9" t="str">
        <f>IF(A46="","",IF(B46="N",VLOOKUP(A46,nhapdulieu!B45:R97,15,0),""))</f>
        <v/>
      </c>
      <c r="F46" s="9" t="str">
        <f>IF(A46="","",IF(B46="X",VLOOKUP(A46,nhapdulieu!C45:S97,15,0),""))</f>
        <v/>
      </c>
      <c r="G46" s="9" t="str">
        <f>IF(A46="","",VLOOKUP(A46,nhapdulieu!$B$15:$R$67,9,0))</f>
        <v/>
      </c>
      <c r="H46" s="9" t="str">
        <f>IF(A46="","",VLOOKUP(A46,nhapdulieu!$B$15:$R$67,16,0))</f>
        <v/>
      </c>
      <c r="I46" s="9" t="str">
        <f>IF(C46="","",VLOOKUP(C46,nhapdulieu!$B$15:$R$67,17,0))</f>
        <v/>
      </c>
    </row>
    <row r="47" spans="1:9">
      <c r="A47" s="9" t="str">
        <f t="shared" si="0"/>
        <v/>
      </c>
      <c r="B47" s="9" t="str">
        <f>IF(A47="","",VLOOKUP(A47,nhapdulieu!$B$15:$R$67,14,0))</f>
        <v/>
      </c>
      <c r="C47" s="9" t="str">
        <f>IF(A47="","",VLOOKUP(A47,nhapdulieu!$B$15:$R$67,6,0))</f>
        <v/>
      </c>
      <c r="D47" s="9" t="str">
        <f>IF(A47="","",VLOOKUP(A47,nhapdulieu!$B$15:$R$67,9,0))</f>
        <v/>
      </c>
      <c r="E47" s="9" t="str">
        <f>IF(A47="","",IF(B47="N",VLOOKUP(A47,nhapdulieu!B46:R98,15,0),""))</f>
        <v/>
      </c>
      <c r="F47" s="9" t="str">
        <f>IF(A47="","",IF(B47="X",VLOOKUP(A47,nhapdulieu!C46:S98,15,0),""))</f>
        <v/>
      </c>
      <c r="G47" s="9" t="str">
        <f>IF(A47="","",VLOOKUP(A47,nhapdulieu!$B$15:$R$67,9,0))</f>
        <v/>
      </c>
      <c r="H47" s="9" t="str">
        <f>IF(A47="","",VLOOKUP(A47,nhapdulieu!$B$15:$R$67,16,0))</f>
        <v/>
      </c>
      <c r="I47" s="9" t="str">
        <f>IF(C47="","",VLOOKUP(C47,nhapdulieu!$B$15:$R$67,17,0))</f>
        <v/>
      </c>
    </row>
    <row r="48" spans="1:9">
      <c r="A48" s="9" t="str">
        <f t="shared" si="0"/>
        <v/>
      </c>
      <c r="B48" s="9" t="str">
        <f>IF(A48="","",VLOOKUP(A48,nhapdulieu!$B$15:$R$67,14,0))</f>
        <v/>
      </c>
      <c r="C48" s="9" t="str">
        <f>IF(A48="","",VLOOKUP(A48,nhapdulieu!$B$15:$R$67,6,0))</f>
        <v/>
      </c>
      <c r="D48" s="9" t="str">
        <f>IF(A48="","",VLOOKUP(A48,nhapdulieu!$B$15:$R$67,9,0))</f>
        <v/>
      </c>
      <c r="E48" s="9" t="str">
        <f>IF(A48="","",IF(B48="N",VLOOKUP(A48,nhapdulieu!B47:R99,15,0),""))</f>
        <v/>
      </c>
      <c r="F48" s="9" t="str">
        <f>IF(A48="","",IF(B48="X",VLOOKUP(A48,nhapdulieu!C47:S99,15,0),""))</f>
        <v/>
      </c>
      <c r="G48" s="9" t="str">
        <f>IF(A48="","",VLOOKUP(A48,nhapdulieu!$B$15:$R$67,9,0))</f>
        <v/>
      </c>
      <c r="H48" s="9" t="str">
        <f>IF(A48="","",VLOOKUP(A48,nhapdulieu!$B$15:$R$67,16,0))</f>
        <v/>
      </c>
      <c r="I48" s="9" t="str">
        <f>IF(C48="","",VLOOKUP(C48,nhapdulieu!$B$15:$R$67,17,0))</f>
        <v/>
      </c>
    </row>
    <row r="49" spans="1:10">
      <c r="A49" s="9" t="str">
        <f t="shared" si="0"/>
        <v/>
      </c>
      <c r="B49" s="9" t="str">
        <f>IF(A49="","",VLOOKUP(A49,nhapdulieu!$B$15:$R$67,14,0))</f>
        <v/>
      </c>
      <c r="C49" s="9" t="str">
        <f>IF(A49="","",VLOOKUP(A49,nhapdulieu!$B$15:$R$67,6,0))</f>
        <v/>
      </c>
      <c r="D49" s="9" t="str">
        <f>IF(A49="","",VLOOKUP(A49,nhapdulieu!$B$15:$R$67,9,0))</f>
        <v/>
      </c>
      <c r="E49" s="9" t="str">
        <f>IF(A49="","",IF(B49="N",VLOOKUP(A49,nhapdulieu!B48:R100,15,0),""))</f>
        <v/>
      </c>
      <c r="F49" s="9" t="str">
        <f>IF(A49="","",IF(B49="X",VLOOKUP(A49,nhapdulieu!C48:S100,15,0),""))</f>
        <v/>
      </c>
      <c r="G49" s="9" t="str">
        <f>IF(A49="","",VLOOKUP(A49,nhapdulieu!$B$15:$R$67,9,0))</f>
        <v/>
      </c>
      <c r="H49" s="9" t="str">
        <f>IF(A49="","",VLOOKUP(A49,nhapdulieu!$B$15:$R$67,16,0))</f>
        <v/>
      </c>
      <c r="I49" s="9" t="str">
        <f>IF(C49="","",VLOOKUP(C49,nhapdulieu!$B$15:$R$67,17,0))</f>
        <v/>
      </c>
    </row>
    <row r="50" spans="1:10">
      <c r="A50" s="9" t="str">
        <f t="shared" si="0"/>
        <v/>
      </c>
      <c r="B50" s="9" t="str">
        <f>IF(A50="","",VLOOKUP(A50,nhapdulieu!$B$15:$R$67,14,0))</f>
        <v/>
      </c>
      <c r="C50" s="9" t="str">
        <f>IF(A50="","",VLOOKUP(A50,nhapdulieu!$B$15:$R$67,6,0))</f>
        <v/>
      </c>
      <c r="D50" s="9" t="str">
        <f>IF(A50="","",VLOOKUP(A50,nhapdulieu!$B$15:$R$67,9,0))</f>
        <v/>
      </c>
      <c r="E50" s="9" t="str">
        <f>IF(A50="","",IF(B50="N",VLOOKUP(A50,nhapdulieu!B49:R101,15,0),""))</f>
        <v/>
      </c>
      <c r="F50" s="9" t="str">
        <f>IF(A50="","",IF(B50="X",VLOOKUP(A50,nhapdulieu!C49:S101,15,0),""))</f>
        <v/>
      </c>
      <c r="G50" s="9" t="str">
        <f>IF(A50="","",VLOOKUP(A50,nhapdulieu!$B$15:$R$67,9,0))</f>
        <v/>
      </c>
      <c r="H50" s="9" t="str">
        <f>IF(A50="","",VLOOKUP(A50,nhapdulieu!$B$15:$R$67,16,0))</f>
        <v/>
      </c>
      <c r="I50" s="9" t="str">
        <f>IF(C50="","",VLOOKUP(C50,nhapdulieu!$B$15:$R$67,17,0))</f>
        <v/>
      </c>
    </row>
    <row r="51" spans="1:10">
      <c r="A51" s="9" t="str">
        <f t="shared" si="0"/>
        <v/>
      </c>
      <c r="B51" s="9" t="str">
        <f>IF(A51="","",VLOOKUP(A51,nhapdulieu!$B$15:$R$67,14,0))</f>
        <v/>
      </c>
      <c r="C51" s="9" t="str">
        <f>IF(A51="","",VLOOKUP(A51,nhapdulieu!$B$15:$R$67,6,0))</f>
        <v/>
      </c>
      <c r="D51" s="9" t="str">
        <f>IF(A51="","",VLOOKUP(A51,nhapdulieu!$B$15:$R$67,9,0))</f>
        <v/>
      </c>
      <c r="E51" s="9" t="str">
        <f>IF(A51="","",IF(B51="N",VLOOKUP(A51,nhapdulieu!B50:R102,15,0),""))</f>
        <v/>
      </c>
      <c r="F51" s="9" t="str">
        <f>IF(A51="","",IF(B51="X",VLOOKUP(A51,nhapdulieu!C50:S102,15,0),""))</f>
        <v/>
      </c>
      <c r="G51" s="9" t="str">
        <f>IF(A51="","",VLOOKUP(A51,nhapdulieu!$B$15:$R$67,9,0))</f>
        <v/>
      </c>
      <c r="H51" s="9" t="str">
        <f>IF(A51="","",VLOOKUP(A51,nhapdulieu!$B$15:$R$67,16,0))</f>
        <v/>
      </c>
      <c r="I51" s="9" t="str">
        <f>IF(C51="","",VLOOKUP(C51,nhapdulieu!$B$15:$R$67,17,0))</f>
        <v/>
      </c>
    </row>
    <row r="52" spans="1:10">
      <c r="A52" s="40">
        <f>MAX(nhapdulieu!B15:B67)</f>
        <v>0</v>
      </c>
      <c r="B52" s="40"/>
      <c r="C52" s="40"/>
      <c r="D52" s="40"/>
      <c r="E52" s="40"/>
      <c r="F52" s="40"/>
      <c r="G52" s="40"/>
      <c r="H52" s="40"/>
      <c r="I52" s="40"/>
      <c r="J52" s="40"/>
    </row>
  </sheetData>
  <mergeCells count="4">
    <mergeCell ref="D10:E10"/>
    <mergeCell ref="A14:G14"/>
    <mergeCell ref="H14:I14"/>
    <mergeCell ref="E5:F6"/>
  </mergeCells>
  <dataValidations count="1">
    <dataValidation type="list" allowBlank="1" showInputMessage="1" showErrorMessage="1" sqref="D11">
      <formula1>danhmuc</formula1>
    </dataValidation>
  </dataValidations>
  <hyperlinks>
    <hyperlink ref="C6" location="home!A1" display="Home"/>
  </hyperlink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048576"/>
  <sheetViews>
    <sheetView tabSelected="1" topLeftCell="C6" workbookViewId="0">
      <selection activeCell="D6" sqref="D6"/>
    </sheetView>
  </sheetViews>
  <sheetFormatPr defaultRowHeight="16.5"/>
  <cols>
    <col min="1" max="1" width="9" style="7"/>
    <col min="2" max="2" width="21.75" style="7" customWidth="1"/>
    <col min="3" max="3" width="28.25" style="7" customWidth="1"/>
    <col min="4" max="4" width="13.875" style="7" customWidth="1"/>
    <col min="5" max="5" width="10.125" style="13" customWidth="1"/>
    <col min="6" max="6" width="0" style="7" hidden="1" customWidth="1"/>
    <col min="7" max="7" width="25.25" style="7" customWidth="1"/>
    <col min="8" max="8" width="15.75" style="7" customWidth="1"/>
    <col min="9" max="9" width="14.875" style="7" customWidth="1"/>
    <col min="10" max="10" width="14" style="7" customWidth="1"/>
    <col min="11" max="16384" width="9" style="7"/>
  </cols>
  <sheetData>
    <row r="1" spans="1:8">
      <c r="A1" s="10" t="s">
        <v>158</v>
      </c>
    </row>
    <row r="3" spans="1:8">
      <c r="B3" s="67" t="s">
        <v>8</v>
      </c>
      <c r="C3" s="67"/>
      <c r="D3" s="67"/>
      <c r="E3" s="67"/>
      <c r="F3" s="29"/>
      <c r="G3" s="7" t="s">
        <v>277</v>
      </c>
      <c r="H3" s="7" t="s">
        <v>193</v>
      </c>
    </row>
    <row r="4" spans="1:8">
      <c r="B4" s="8" t="s">
        <v>9</v>
      </c>
      <c r="C4" s="8" t="s">
        <v>10</v>
      </c>
      <c r="D4" s="8" t="s">
        <v>11</v>
      </c>
      <c r="E4" s="8" t="s">
        <v>12</v>
      </c>
    </row>
    <row r="5" spans="1:8">
      <c r="B5" s="11" t="s">
        <v>13</v>
      </c>
      <c r="C5" s="12" t="s">
        <v>14</v>
      </c>
      <c r="D5" s="7" t="s">
        <v>59</v>
      </c>
      <c r="E5" s="13" t="s">
        <v>60</v>
      </c>
      <c r="G5" s="7" t="str">
        <f>IF(B5="","",B5)</f>
        <v>HH-T06B 743*60</v>
      </c>
      <c r="H5" s="7">
        <v>2900</v>
      </c>
    </row>
    <row r="6" spans="1:8">
      <c r="B6" s="14" t="s">
        <v>15</v>
      </c>
      <c r="C6" s="15"/>
      <c r="E6" s="13" t="s">
        <v>60</v>
      </c>
      <c r="G6" s="7" t="str">
        <f t="shared" ref="G6:G69" si="0">IF(B6="","",B6)</f>
        <v>HH-#2217T BÀN HS wh</v>
      </c>
      <c r="H6" s="7">
        <v>2</v>
      </c>
    </row>
    <row r="7" spans="1:8">
      <c r="B7" s="14" t="s">
        <v>194</v>
      </c>
      <c r="C7" s="15" t="s">
        <v>195</v>
      </c>
      <c r="E7" s="13" t="s">
        <v>196</v>
      </c>
      <c r="G7" s="7" t="str">
        <f t="shared" si="0"/>
        <v>GHE HS</v>
      </c>
      <c r="H7" s="7">
        <v>6</v>
      </c>
    </row>
    <row r="8" spans="1:8">
      <c r="B8" s="12" t="s">
        <v>16</v>
      </c>
      <c r="C8" s="12" t="s">
        <v>17</v>
      </c>
      <c r="E8" s="13" t="s">
        <v>60</v>
      </c>
      <c r="G8" s="7" t="str">
        <f t="shared" si="0"/>
        <v>BÀN HS wh</v>
      </c>
      <c r="H8" s="7">
        <v>2</v>
      </c>
    </row>
    <row r="9" spans="1:8">
      <c r="B9" s="15" t="s">
        <v>18</v>
      </c>
      <c r="C9" s="12" t="s">
        <v>19</v>
      </c>
      <c r="E9" s="13" t="s">
        <v>60</v>
      </c>
      <c r="G9" s="7" t="str">
        <f t="shared" si="0"/>
        <v>HH-#2217T M/1</v>
      </c>
      <c r="H9" s="7">
        <v>0</v>
      </c>
    </row>
    <row r="10" spans="1:8">
      <c r="B10" s="15" t="s">
        <v>20</v>
      </c>
      <c r="C10" s="12" t="s">
        <v>21</v>
      </c>
      <c r="E10" s="13" t="s">
        <v>60</v>
      </c>
      <c r="G10" s="7" t="str">
        <f t="shared" si="0"/>
        <v>HH-#2217T G/2</v>
      </c>
      <c r="H10" s="7">
        <v>0</v>
      </c>
    </row>
    <row r="11" spans="1:8">
      <c r="B11" s="15" t="s">
        <v>22</v>
      </c>
      <c r="C11" s="12" t="s">
        <v>23</v>
      </c>
      <c r="E11" s="13" t="s">
        <v>60</v>
      </c>
      <c r="G11" s="7" t="str">
        <f t="shared" si="0"/>
        <v>HH-#2217T N/3</v>
      </c>
      <c r="H11" s="7">
        <v>0</v>
      </c>
    </row>
    <row r="12" spans="1:8">
      <c r="B12" s="14" t="s">
        <v>24</v>
      </c>
      <c r="C12" s="12" t="s">
        <v>25</v>
      </c>
      <c r="E12" s="13" t="s">
        <v>60</v>
      </c>
      <c r="G12" s="7" t="str">
        <f t="shared" si="0"/>
        <v>HH-#2217T BÀN HS NA</v>
      </c>
      <c r="H12" s="7">
        <v>0</v>
      </c>
    </row>
    <row r="13" spans="1:8">
      <c r="B13" s="15" t="s">
        <v>26</v>
      </c>
      <c r="C13" s="12" t="s">
        <v>27</v>
      </c>
      <c r="E13" s="13" t="s">
        <v>60</v>
      </c>
      <c r="G13" s="7" t="str">
        <f t="shared" si="0"/>
        <v>HH-#2217T M</v>
      </c>
      <c r="H13" s="7">
        <v>0</v>
      </c>
    </row>
    <row r="14" spans="1:8">
      <c r="B14" s="15" t="s">
        <v>28</v>
      </c>
      <c r="C14" s="12" t="s">
        <v>29</v>
      </c>
      <c r="E14" s="13" t="s">
        <v>60</v>
      </c>
      <c r="G14" s="7" t="str">
        <f t="shared" si="0"/>
        <v>HH-#2217T G</v>
      </c>
      <c r="H14" s="7">
        <v>0</v>
      </c>
    </row>
    <row r="15" spans="1:8">
      <c r="B15" s="15" t="s">
        <v>30</v>
      </c>
      <c r="C15" s="12" t="s">
        <v>31</v>
      </c>
      <c r="E15" s="13" t="s">
        <v>60</v>
      </c>
      <c r="G15" s="7" t="str">
        <f t="shared" si="0"/>
        <v>HH-#2217T N</v>
      </c>
      <c r="H15" s="7">
        <v>0</v>
      </c>
    </row>
    <row r="16" spans="1:8">
      <c r="B16" s="16" t="s">
        <v>32</v>
      </c>
      <c r="C16" s="17" t="s">
        <v>33</v>
      </c>
      <c r="D16" s="7" t="s">
        <v>61</v>
      </c>
      <c r="E16" s="13" t="s">
        <v>60</v>
      </c>
      <c r="G16" s="7" t="str">
        <f t="shared" si="0"/>
        <v xml:space="preserve">BO60*20 </v>
      </c>
      <c r="H16" s="7">
        <v>0</v>
      </c>
    </row>
    <row r="17" spans="2:8">
      <c r="B17" s="16" t="s">
        <v>34</v>
      </c>
      <c r="C17" s="18" t="s">
        <v>35</v>
      </c>
      <c r="D17" s="7" t="s">
        <v>62</v>
      </c>
      <c r="E17" s="13" t="s">
        <v>60</v>
      </c>
      <c r="G17" s="7" t="str">
        <f t="shared" si="0"/>
        <v>BO90*20</v>
      </c>
      <c r="H17" s="7">
        <v>0</v>
      </c>
    </row>
    <row r="18" spans="2:8">
      <c r="B18" s="16" t="s">
        <v>36</v>
      </c>
      <c r="C18" s="18" t="s">
        <v>37</v>
      </c>
      <c r="D18" s="7" t="s">
        <v>63</v>
      </c>
      <c r="E18" s="13" t="s">
        <v>60</v>
      </c>
      <c r="G18" s="7" t="str">
        <f t="shared" si="0"/>
        <v>HHO-OT034/ET</v>
      </c>
      <c r="H18" s="7">
        <v>0</v>
      </c>
    </row>
    <row r="19" spans="2:8">
      <c r="B19" s="19" t="s">
        <v>38</v>
      </c>
      <c r="C19" s="20" t="s">
        <v>39</v>
      </c>
      <c r="D19" s="7" t="s">
        <v>64</v>
      </c>
      <c r="E19" s="13" t="s">
        <v>60</v>
      </c>
      <c r="G19" s="7" t="str">
        <f t="shared" si="0"/>
        <v>HH-OT034 CT</v>
      </c>
    </row>
    <row r="20" spans="2:8">
      <c r="B20" s="21" t="s">
        <v>40</v>
      </c>
      <c r="C20" s="17" t="s">
        <v>41</v>
      </c>
      <c r="D20" s="7" t="s">
        <v>65</v>
      </c>
      <c r="E20" s="13" t="s">
        <v>60</v>
      </c>
      <c r="G20" s="7" t="str">
        <f t="shared" si="0"/>
        <v>HH-0T034CT</v>
      </c>
      <c r="H20" s="7">
        <v>0</v>
      </c>
    </row>
    <row r="21" spans="2:8">
      <c r="B21" s="21" t="s">
        <v>42</v>
      </c>
      <c r="C21" s="17" t="s">
        <v>43</v>
      </c>
      <c r="D21" s="7" t="s">
        <v>59</v>
      </c>
      <c r="E21" s="13" t="s">
        <v>60</v>
      </c>
      <c r="G21" s="7" t="str">
        <f t="shared" si="0"/>
        <v>HH-T027NL</v>
      </c>
      <c r="H21" s="7">
        <v>5</v>
      </c>
    </row>
    <row r="22" spans="2:8">
      <c r="B22" s="21" t="s">
        <v>44</v>
      </c>
      <c r="C22" s="17" t="s">
        <v>45</v>
      </c>
      <c r="E22" s="13" t="s">
        <v>60</v>
      </c>
      <c r="G22" s="7" t="str">
        <f t="shared" si="0"/>
        <v>HH-C048/1</v>
      </c>
      <c r="H22" s="7">
        <v>7</v>
      </c>
    </row>
    <row r="23" spans="2:8">
      <c r="B23" s="21" t="s">
        <v>46</v>
      </c>
      <c r="C23" s="17" t="s">
        <v>47</v>
      </c>
      <c r="E23" s="13" t="s">
        <v>60</v>
      </c>
      <c r="G23" s="7" t="str">
        <f t="shared" si="0"/>
        <v>HH-C048/2</v>
      </c>
      <c r="H23" s="7">
        <v>8</v>
      </c>
    </row>
    <row r="24" spans="2:8">
      <c r="B24" s="21" t="s">
        <v>48</v>
      </c>
      <c r="C24" s="17" t="s">
        <v>49</v>
      </c>
      <c r="E24" s="13" t="s">
        <v>60</v>
      </c>
      <c r="G24" s="7" t="str">
        <f t="shared" si="0"/>
        <v>HH-C048/3</v>
      </c>
      <c r="H24" s="7">
        <v>8</v>
      </c>
    </row>
    <row r="25" spans="2:8">
      <c r="B25" s="16" t="s">
        <v>50</v>
      </c>
      <c r="C25" s="17" t="s">
        <v>51</v>
      </c>
      <c r="E25" s="13" t="s">
        <v>60</v>
      </c>
      <c r="G25" s="7" t="str">
        <f t="shared" si="0"/>
        <v>HH-T06B</v>
      </c>
      <c r="H25" s="7">
        <v>16</v>
      </c>
    </row>
    <row r="26" spans="2:8">
      <c r="B26" s="21" t="s">
        <v>42</v>
      </c>
      <c r="C26" s="17" t="s">
        <v>52</v>
      </c>
      <c r="D26" s="7" t="s">
        <v>66</v>
      </c>
      <c r="E26" s="13" t="s">
        <v>60</v>
      </c>
      <c r="G26" s="7" t="str">
        <f t="shared" si="0"/>
        <v>HH-T027NL</v>
      </c>
      <c r="H26" s="7">
        <v>5</v>
      </c>
    </row>
    <row r="27" spans="2:8">
      <c r="B27" s="21" t="s">
        <v>53</v>
      </c>
      <c r="C27" s="15" t="s">
        <v>54</v>
      </c>
      <c r="D27" s="7" t="s">
        <v>67</v>
      </c>
      <c r="E27" s="13" t="s">
        <v>60</v>
      </c>
      <c r="G27" s="7" t="str">
        <f t="shared" si="0"/>
        <v>TVN 455*70</v>
      </c>
      <c r="H27" s="7">
        <v>0</v>
      </c>
    </row>
    <row r="28" spans="2:8">
      <c r="B28" s="21" t="s">
        <v>55</v>
      </c>
      <c r="C28" s="15" t="s">
        <v>56</v>
      </c>
      <c r="D28" s="7" t="s">
        <v>68</v>
      </c>
      <c r="E28" s="13" t="s">
        <v>60</v>
      </c>
      <c r="G28" s="7" t="str">
        <f t="shared" si="0"/>
        <v>TVN 580*65</v>
      </c>
      <c r="H28" s="7">
        <v>4</v>
      </c>
    </row>
    <row r="29" spans="2:8">
      <c r="B29" s="21" t="s">
        <v>57</v>
      </c>
      <c r="C29" s="15" t="s">
        <v>58</v>
      </c>
      <c r="D29" s="7" t="s">
        <v>69</v>
      </c>
      <c r="E29" s="13" t="s">
        <v>60</v>
      </c>
      <c r="G29" s="7" t="str">
        <f t="shared" si="0"/>
        <v>TVN 735*70</v>
      </c>
      <c r="H29" s="7">
        <v>4</v>
      </c>
    </row>
    <row r="30" spans="2:8">
      <c r="B30" s="7" t="s">
        <v>70</v>
      </c>
      <c r="C30" s="7" t="s">
        <v>71</v>
      </c>
      <c r="E30" s="13" t="s">
        <v>72</v>
      </c>
      <c r="G30" s="7" t="str">
        <f t="shared" si="0"/>
        <v>maychanham</v>
      </c>
      <c r="H30" s="7">
        <v>4</v>
      </c>
    </row>
    <row r="31" spans="2:8">
      <c r="B31" s="7" t="s">
        <v>73</v>
      </c>
      <c r="C31" s="7" t="s">
        <v>74</v>
      </c>
      <c r="E31" s="13" t="s">
        <v>72</v>
      </c>
      <c r="G31" s="7" t="str">
        <f t="shared" si="0"/>
        <v>maysac</v>
      </c>
      <c r="H31" s="7">
        <v>10</v>
      </c>
    </row>
    <row r="32" spans="2:8">
      <c r="B32" s="7" t="s">
        <v>75</v>
      </c>
      <c r="C32" s="7" t="s">
        <v>76</v>
      </c>
      <c r="E32" s="13" t="s">
        <v>72</v>
      </c>
      <c r="G32" s="7" t="str">
        <f t="shared" si="0"/>
        <v>Mkhoan100*12</v>
      </c>
      <c r="H32" s="7">
        <v>10</v>
      </c>
    </row>
    <row r="33" spans="2:8">
      <c r="B33" s="7" t="s">
        <v>77</v>
      </c>
      <c r="C33" s="7" t="s">
        <v>78</v>
      </c>
      <c r="E33" s="13" t="s">
        <v>72</v>
      </c>
      <c r="G33" s="7" t="str">
        <f t="shared" si="0"/>
        <v>Mkhoan150*12</v>
      </c>
      <c r="H33" s="7">
        <v>3</v>
      </c>
    </row>
    <row r="34" spans="2:8">
      <c r="B34" s="7" t="s">
        <v>81</v>
      </c>
      <c r="C34" s="7" t="s">
        <v>82</v>
      </c>
      <c r="E34" s="13" t="s">
        <v>152</v>
      </c>
      <c r="G34" s="7" t="str">
        <f t="shared" si="0"/>
        <v>dinhf1</v>
      </c>
      <c r="H34" s="7">
        <v>3</v>
      </c>
    </row>
    <row r="35" spans="2:8">
      <c r="B35" s="7" t="s">
        <v>83</v>
      </c>
      <c r="C35" s="7" t="s">
        <v>84</v>
      </c>
      <c r="E35" s="13" t="s">
        <v>152</v>
      </c>
      <c r="G35" s="7" t="str">
        <f t="shared" si="0"/>
        <v>dinhf15</v>
      </c>
      <c r="H35" s="7">
        <v>0</v>
      </c>
    </row>
    <row r="36" spans="2:8">
      <c r="B36" s="7" t="s">
        <v>86</v>
      </c>
      <c r="C36" s="7" t="s">
        <v>85</v>
      </c>
      <c r="E36" s="13" t="s">
        <v>152</v>
      </c>
      <c r="G36" s="7" t="str">
        <f t="shared" si="0"/>
        <v>dinhf20</v>
      </c>
      <c r="H36" s="7">
        <v>25</v>
      </c>
    </row>
    <row r="37" spans="2:8">
      <c r="B37" s="7" t="s">
        <v>87</v>
      </c>
      <c r="C37" s="7" t="s">
        <v>88</v>
      </c>
      <c r="E37" s="13" t="s">
        <v>152</v>
      </c>
      <c r="G37" s="7" t="str">
        <f t="shared" si="0"/>
        <v>dinhf25</v>
      </c>
      <c r="H37" s="7">
        <v>8</v>
      </c>
    </row>
    <row r="38" spans="2:8">
      <c r="B38" s="7" t="s">
        <v>89</v>
      </c>
      <c r="C38" s="7" t="s">
        <v>90</v>
      </c>
      <c r="E38" s="13" t="s">
        <v>152</v>
      </c>
      <c r="G38" s="7" t="str">
        <f t="shared" si="0"/>
        <v>dinhf30</v>
      </c>
      <c r="H38" s="7">
        <v>24</v>
      </c>
    </row>
    <row r="39" spans="2:8">
      <c r="B39" s="7" t="s">
        <v>92</v>
      </c>
      <c r="C39" s="7" t="s">
        <v>91</v>
      </c>
      <c r="E39" s="13" t="s">
        <v>152</v>
      </c>
      <c r="G39" s="7" t="str">
        <f t="shared" si="0"/>
        <v>dinhf35</v>
      </c>
      <c r="H39" s="7">
        <v>28</v>
      </c>
    </row>
    <row r="40" spans="2:8">
      <c r="B40" s="7" t="s">
        <v>93</v>
      </c>
      <c r="C40" s="7" t="s">
        <v>94</v>
      </c>
      <c r="E40" s="13" t="s">
        <v>152</v>
      </c>
      <c r="G40" s="7" t="str">
        <f t="shared" si="0"/>
        <v>dinhf40</v>
      </c>
    </row>
    <row r="41" spans="2:8">
      <c r="B41" s="7" t="s">
        <v>95</v>
      </c>
      <c r="C41" s="7" t="s">
        <v>96</v>
      </c>
      <c r="E41" s="13" t="s">
        <v>152</v>
      </c>
      <c r="G41" s="7" t="str">
        <f t="shared" si="0"/>
        <v>dinhf45</v>
      </c>
      <c r="H41" s="7">
        <v>5</v>
      </c>
    </row>
    <row r="42" spans="2:8">
      <c r="B42" s="7" t="s">
        <v>98</v>
      </c>
      <c r="C42" s="7" t="s">
        <v>97</v>
      </c>
      <c r="E42" s="13" t="s">
        <v>152</v>
      </c>
      <c r="G42" s="7" t="str">
        <f t="shared" si="0"/>
        <v>dinhf50</v>
      </c>
      <c r="H42" s="7">
        <v>0</v>
      </c>
    </row>
    <row r="43" spans="2:8">
      <c r="B43" s="7" t="s">
        <v>99</v>
      </c>
      <c r="C43" s="7" t="s">
        <v>101</v>
      </c>
      <c r="E43" s="13" t="s">
        <v>152</v>
      </c>
      <c r="G43" s="7" t="str">
        <f t="shared" si="0"/>
        <v>dinhu1010</v>
      </c>
      <c r="H43" s="7">
        <v>2.5</v>
      </c>
    </row>
    <row r="44" spans="2:8">
      <c r="B44" s="7" t="s">
        <v>100</v>
      </c>
      <c r="C44" s="7" t="s">
        <v>102</v>
      </c>
      <c r="E44" s="13" t="s">
        <v>152</v>
      </c>
      <c r="G44" s="7" t="str">
        <f t="shared" si="0"/>
        <v>dinhu1013</v>
      </c>
      <c r="H44" s="7">
        <v>25</v>
      </c>
    </row>
    <row r="45" spans="2:8">
      <c r="B45" s="7" t="s">
        <v>103</v>
      </c>
      <c r="C45" s="7" t="s">
        <v>104</v>
      </c>
      <c r="E45" s="13" t="s">
        <v>153</v>
      </c>
      <c r="G45" s="7" t="str">
        <f t="shared" si="0"/>
        <v>PE</v>
      </c>
      <c r="H45" s="7">
        <v>4</v>
      </c>
    </row>
    <row r="46" spans="2:8">
      <c r="B46" s="7" t="s">
        <v>105</v>
      </c>
      <c r="C46" s="7" t="s">
        <v>106</v>
      </c>
      <c r="D46" s="7" t="s">
        <v>134</v>
      </c>
      <c r="E46" s="13" t="s">
        <v>72</v>
      </c>
      <c r="G46" s="7" t="str">
        <f t="shared" si="0"/>
        <v>lcua305</v>
      </c>
      <c r="H46" s="7">
        <v>7</v>
      </c>
    </row>
    <row r="47" spans="2:8">
      <c r="B47" s="7" t="s">
        <v>107</v>
      </c>
      <c r="C47" s="7" t="s">
        <v>108</v>
      </c>
      <c r="D47" s="7" t="s">
        <v>135</v>
      </c>
      <c r="E47" s="13" t="s">
        <v>72</v>
      </c>
      <c r="G47" s="7" t="str">
        <f t="shared" si="0"/>
        <v>lcua355</v>
      </c>
      <c r="H47" s="7">
        <v>1</v>
      </c>
    </row>
    <row r="48" spans="2:8">
      <c r="B48" s="7" t="s">
        <v>109</v>
      </c>
      <c r="C48" s="7" t="s">
        <v>111</v>
      </c>
      <c r="E48" s="13" t="s">
        <v>72</v>
      </c>
      <c r="G48" s="7" t="str">
        <f t="shared" si="0"/>
        <v>Thuoc2.6</v>
      </c>
      <c r="H48" s="7">
        <v>1</v>
      </c>
    </row>
    <row r="49" spans="2:8">
      <c r="B49" s="7" t="s">
        <v>110</v>
      </c>
      <c r="C49" s="7" t="s">
        <v>112</v>
      </c>
      <c r="E49" s="13" t="s">
        <v>72</v>
      </c>
      <c r="G49" s="7" t="str">
        <f t="shared" si="0"/>
        <v>Thuoc3.6</v>
      </c>
      <c r="H49" s="7">
        <v>2</v>
      </c>
    </row>
    <row r="50" spans="2:8">
      <c r="B50" s="7" t="s">
        <v>113</v>
      </c>
      <c r="C50" s="7" t="s">
        <v>114</v>
      </c>
      <c r="E50" s="13" t="s">
        <v>154</v>
      </c>
      <c r="G50" s="7" t="str">
        <f t="shared" si="0"/>
        <v>bottret</v>
      </c>
      <c r="H50" s="7">
        <v>2</v>
      </c>
    </row>
    <row r="51" spans="2:8">
      <c r="B51" s="7" t="s">
        <v>116</v>
      </c>
      <c r="C51" s="7" t="s">
        <v>115</v>
      </c>
      <c r="E51" s="13" t="s">
        <v>155</v>
      </c>
      <c r="G51" s="7" t="str">
        <f t="shared" si="0"/>
        <v>ksua</v>
      </c>
      <c r="H51" s="7">
        <v>1</v>
      </c>
    </row>
    <row r="52" spans="2:8">
      <c r="B52" s="7" t="s">
        <v>117</v>
      </c>
      <c r="C52" s="7" t="s">
        <v>118</v>
      </c>
      <c r="E52" s="13" t="s">
        <v>156</v>
      </c>
      <c r="G52" s="7" t="str">
        <f t="shared" si="0"/>
        <v>k502</v>
      </c>
      <c r="H52" s="7">
        <v>6</v>
      </c>
    </row>
    <row r="53" spans="2:8">
      <c r="B53" s="7" t="s">
        <v>120</v>
      </c>
      <c r="C53" s="7" t="s">
        <v>119</v>
      </c>
      <c r="E53" s="13" t="s">
        <v>152</v>
      </c>
      <c r="G53" s="7" t="str">
        <f t="shared" si="0"/>
        <v>kcho</v>
      </c>
      <c r="H53" s="7">
        <v>300</v>
      </c>
    </row>
    <row r="54" spans="2:8">
      <c r="B54" s="7" t="s">
        <v>121</v>
      </c>
      <c r="C54" s="7" t="s">
        <v>122</v>
      </c>
      <c r="E54" s="13" t="s">
        <v>155</v>
      </c>
      <c r="G54" s="7" t="str">
        <f t="shared" si="0"/>
        <v>xuctac</v>
      </c>
      <c r="H54" s="7">
        <v>0.5</v>
      </c>
    </row>
    <row r="55" spans="2:8">
      <c r="B55" s="7" t="s">
        <v>79</v>
      </c>
      <c r="C55" s="7" t="s">
        <v>80</v>
      </c>
      <c r="E55" s="13" t="s">
        <v>153</v>
      </c>
      <c r="G55" s="7" t="str">
        <f t="shared" si="0"/>
        <v>nilon</v>
      </c>
      <c r="H55" s="7">
        <v>2</v>
      </c>
    </row>
    <row r="56" spans="2:8">
      <c r="B56" s="7" t="s">
        <v>124</v>
      </c>
      <c r="C56" s="7" t="s">
        <v>123</v>
      </c>
      <c r="D56" s="7" t="s">
        <v>136</v>
      </c>
      <c r="E56" s="13" t="s">
        <v>153</v>
      </c>
      <c r="G56" s="7" t="str">
        <f t="shared" si="0"/>
        <v>nhamcuon k51.1</v>
      </c>
      <c r="H56" s="7">
        <v>2</v>
      </c>
    </row>
    <row r="57" spans="2:8">
      <c r="B57" s="7" t="s">
        <v>125</v>
      </c>
      <c r="C57" s="7" t="s">
        <v>126</v>
      </c>
      <c r="D57" s="7" t="s">
        <v>137</v>
      </c>
      <c r="E57" s="13" t="s">
        <v>153</v>
      </c>
      <c r="G57" s="7" t="str">
        <f t="shared" si="0"/>
        <v>nhamcuon k51.2</v>
      </c>
      <c r="H57" s="7">
        <v>1.5</v>
      </c>
    </row>
    <row r="58" spans="2:8">
      <c r="B58" s="7" t="s">
        <v>127</v>
      </c>
      <c r="C58" s="7" t="s">
        <v>138</v>
      </c>
      <c r="D58" s="7" t="s">
        <v>139</v>
      </c>
      <c r="E58" s="13" t="s">
        <v>153</v>
      </c>
      <c r="G58" s="7" t="str">
        <f t="shared" si="0"/>
        <v>nhamcuon jb5.1</v>
      </c>
      <c r="H58" s="7">
        <v>0.5</v>
      </c>
    </row>
    <row r="59" spans="2:8">
      <c r="B59" s="7" t="s">
        <v>129</v>
      </c>
      <c r="C59" s="7" t="s">
        <v>131</v>
      </c>
      <c r="D59" s="7" t="s">
        <v>128</v>
      </c>
      <c r="E59" s="13" t="s">
        <v>72</v>
      </c>
      <c r="G59" s="7" t="str">
        <f t="shared" si="0"/>
        <v>nhamtruck51.1</v>
      </c>
      <c r="H59" s="7">
        <v>0</v>
      </c>
    </row>
    <row r="60" spans="2:8">
      <c r="B60" s="7" t="s">
        <v>130</v>
      </c>
      <c r="C60" s="7" t="s">
        <v>132</v>
      </c>
      <c r="D60" s="7" t="s">
        <v>140</v>
      </c>
      <c r="E60" s="13" t="s">
        <v>72</v>
      </c>
      <c r="G60" s="7" t="str">
        <f t="shared" si="0"/>
        <v>nhamtruck51.2</v>
      </c>
      <c r="H60" s="7">
        <v>0</v>
      </c>
    </row>
    <row r="61" spans="2:8">
      <c r="B61" s="7" t="s">
        <v>133</v>
      </c>
      <c r="C61" s="7" t="s">
        <v>141</v>
      </c>
      <c r="E61" s="13" t="s">
        <v>157</v>
      </c>
      <c r="G61" s="7" t="str">
        <f t="shared" si="0"/>
        <v>nhamthunglon</v>
      </c>
      <c r="H61" s="7">
        <v>0</v>
      </c>
    </row>
    <row r="62" spans="2:8">
      <c r="B62" s="7" t="s">
        <v>143</v>
      </c>
      <c r="C62" s="7" t="s">
        <v>142</v>
      </c>
      <c r="E62" s="13" t="s">
        <v>157</v>
      </c>
      <c r="G62" s="7" t="str">
        <f t="shared" si="0"/>
        <v>nhamthungnho</v>
      </c>
      <c r="H62" s="7">
        <v>150</v>
      </c>
    </row>
    <row r="63" spans="2:8">
      <c r="B63" s="7" t="s">
        <v>144</v>
      </c>
      <c r="C63" s="7" t="s">
        <v>145</v>
      </c>
      <c r="E63" s="13" t="s">
        <v>157</v>
      </c>
      <c r="G63" s="7" t="str">
        <f t="shared" si="0"/>
        <v>nhambanglon1</v>
      </c>
      <c r="H63" s="7">
        <v>150</v>
      </c>
    </row>
    <row r="64" spans="2:8">
      <c r="B64" s="7" t="s">
        <v>146</v>
      </c>
      <c r="C64" s="7" t="s">
        <v>147</v>
      </c>
      <c r="E64" s="13" t="s">
        <v>157</v>
      </c>
      <c r="G64" s="7" t="str">
        <f t="shared" si="0"/>
        <v>nhambanglon1.1</v>
      </c>
      <c r="H64" s="7">
        <v>0</v>
      </c>
    </row>
    <row r="65" spans="2:8">
      <c r="B65" s="7" t="s">
        <v>148</v>
      </c>
      <c r="C65" s="7" t="s">
        <v>150</v>
      </c>
      <c r="E65" s="13" t="s">
        <v>157</v>
      </c>
      <c r="G65" s="7" t="str">
        <f t="shared" si="0"/>
        <v>nhambangnho2</v>
      </c>
      <c r="H65" s="7">
        <v>0</v>
      </c>
    </row>
    <row r="66" spans="2:8">
      <c r="B66" s="7" t="s">
        <v>149</v>
      </c>
      <c r="C66" s="7" t="s">
        <v>151</v>
      </c>
      <c r="E66" s="13" t="s">
        <v>157</v>
      </c>
      <c r="G66" s="7" t="str">
        <f t="shared" si="0"/>
        <v>nhambangnho2.2</v>
      </c>
      <c r="H66" s="7">
        <v>0</v>
      </c>
    </row>
    <row r="67" spans="2:8">
      <c r="B67" s="7" t="s">
        <v>197</v>
      </c>
      <c r="C67" s="7" t="s">
        <v>198</v>
      </c>
      <c r="E67" s="13" t="s">
        <v>196</v>
      </c>
      <c r="G67" s="7" t="str">
        <f t="shared" si="0"/>
        <v>GHECASA</v>
      </c>
      <c r="H67" s="7">
        <f>34+17</f>
        <v>51</v>
      </c>
    </row>
    <row r="68" spans="2:8">
      <c r="B68" s="7" t="s">
        <v>200</v>
      </c>
      <c r="C68" s="7" t="s">
        <v>199</v>
      </c>
      <c r="D68" s="7" t="s">
        <v>202</v>
      </c>
      <c r="E68" s="13" t="s">
        <v>201</v>
      </c>
      <c r="G68" s="7" t="str">
        <f t="shared" si="0"/>
        <v>VANGHEP</v>
      </c>
      <c r="H68" s="7">
        <f>65+38+23+15+97</f>
        <v>238</v>
      </c>
    </row>
    <row r="69" spans="2:8">
      <c r="B69" s="7" t="s">
        <v>203</v>
      </c>
      <c r="C69" s="7" t="s">
        <v>246</v>
      </c>
      <c r="D69" s="7" t="s">
        <v>204</v>
      </c>
      <c r="E69" s="13" t="s">
        <v>280</v>
      </c>
      <c r="G69" s="7" t="str">
        <f t="shared" si="0"/>
        <v>Thongtrang</v>
      </c>
    </row>
    <row r="70" spans="2:8">
      <c r="B70" s="7" t="s">
        <v>223</v>
      </c>
      <c r="C70" s="32" t="s">
        <v>215</v>
      </c>
      <c r="D70" s="31" t="s">
        <v>207</v>
      </c>
      <c r="E70" s="13" t="s">
        <v>280</v>
      </c>
      <c r="G70" s="7" t="str">
        <f t="shared" ref="G70" si="1">IF(B70="","",B70)</f>
        <v>xoai1</v>
      </c>
    </row>
    <row r="71" spans="2:8">
      <c r="B71" s="7" t="s">
        <v>224</v>
      </c>
      <c r="C71" s="32" t="s">
        <v>216</v>
      </c>
      <c r="D71" s="31" t="s">
        <v>208</v>
      </c>
      <c r="E71" s="13" t="s">
        <v>280</v>
      </c>
      <c r="G71" s="7" t="str">
        <f t="shared" ref="G71:G75" si="2">IF(B71="","",B71)</f>
        <v>xoai2</v>
      </c>
    </row>
    <row r="72" spans="2:8">
      <c r="B72" s="7" t="s">
        <v>225</v>
      </c>
      <c r="C72" s="32" t="s">
        <v>217</v>
      </c>
      <c r="D72" s="31" t="s">
        <v>209</v>
      </c>
      <c r="E72" s="13" t="s">
        <v>280</v>
      </c>
      <c r="G72" s="7" t="str">
        <f t="shared" si="2"/>
        <v>xoai3</v>
      </c>
    </row>
    <row r="73" spans="2:8">
      <c r="B73" s="7" t="s">
        <v>226</v>
      </c>
      <c r="C73" s="32" t="s">
        <v>218</v>
      </c>
      <c r="D73" s="31" t="s">
        <v>210</v>
      </c>
      <c r="E73" s="13" t="s">
        <v>280</v>
      </c>
      <c r="G73" s="7" t="str">
        <f t="shared" si="2"/>
        <v>xoai4</v>
      </c>
    </row>
    <row r="74" spans="2:8">
      <c r="B74" s="7" t="s">
        <v>227</v>
      </c>
      <c r="C74" s="32" t="s">
        <v>219</v>
      </c>
      <c r="D74" s="31" t="s">
        <v>211</v>
      </c>
      <c r="E74" s="13" t="s">
        <v>280</v>
      </c>
      <c r="G74" s="7" t="str">
        <f t="shared" si="2"/>
        <v>xoai5</v>
      </c>
    </row>
    <row r="75" spans="2:8">
      <c r="B75" s="7" t="s">
        <v>228</v>
      </c>
      <c r="C75" s="32" t="s">
        <v>220</v>
      </c>
      <c r="D75" s="31" t="s">
        <v>212</v>
      </c>
      <c r="E75" s="13" t="s">
        <v>280</v>
      </c>
      <c r="G75" s="7" t="str">
        <f t="shared" si="2"/>
        <v>xoai6</v>
      </c>
    </row>
    <row r="76" spans="2:8">
      <c r="B76" s="7" t="s">
        <v>229</v>
      </c>
      <c r="C76" s="32" t="s">
        <v>221</v>
      </c>
      <c r="D76" s="31" t="s">
        <v>213</v>
      </c>
      <c r="E76" s="13" t="s">
        <v>280</v>
      </c>
      <c r="G76" s="7" t="str">
        <f t="shared" ref="G76:G122" si="3">IF(B76="","",B76)</f>
        <v>xoai7</v>
      </c>
    </row>
    <row r="77" spans="2:8">
      <c r="B77" s="7" t="s">
        <v>230</v>
      </c>
      <c r="C77" s="32" t="s">
        <v>222</v>
      </c>
      <c r="D77" s="31" t="s">
        <v>214</v>
      </c>
      <c r="E77" s="13" t="s">
        <v>280</v>
      </c>
      <c r="G77" s="7" t="str">
        <f t="shared" si="3"/>
        <v>xoai8</v>
      </c>
    </row>
    <row r="78" spans="2:8">
      <c r="B78" s="7" t="s">
        <v>241</v>
      </c>
      <c r="C78" s="7" t="s">
        <v>236</v>
      </c>
      <c r="D78" s="7" t="s">
        <v>232</v>
      </c>
      <c r="E78" s="13" t="s">
        <v>280</v>
      </c>
      <c r="G78" s="7" t="str">
        <f t="shared" si="3"/>
        <v>tram1</v>
      </c>
    </row>
    <row r="79" spans="2:8">
      <c r="B79" s="7" t="s">
        <v>242</v>
      </c>
      <c r="C79" s="7" t="s">
        <v>237</v>
      </c>
      <c r="D79" s="7" t="s">
        <v>231</v>
      </c>
      <c r="E79" s="13" t="s">
        <v>280</v>
      </c>
      <c r="G79" s="7" t="str">
        <f t="shared" si="3"/>
        <v>tram2</v>
      </c>
    </row>
    <row r="80" spans="2:8" ht="20.25" customHeight="1">
      <c r="B80" s="7" t="s">
        <v>243</v>
      </c>
      <c r="C80" s="7" t="s">
        <v>238</v>
      </c>
      <c r="D80" s="7" t="s">
        <v>233</v>
      </c>
      <c r="E80" s="13" t="s">
        <v>280</v>
      </c>
      <c r="G80" s="7" t="str">
        <f t="shared" si="3"/>
        <v>tram3</v>
      </c>
    </row>
    <row r="81" spans="2:7">
      <c r="B81" s="7" t="s">
        <v>244</v>
      </c>
      <c r="C81" s="7" t="s">
        <v>239</v>
      </c>
      <c r="D81" s="7" t="s">
        <v>234</v>
      </c>
      <c r="E81" s="13" t="s">
        <v>280</v>
      </c>
      <c r="G81" s="7" t="str">
        <f t="shared" si="3"/>
        <v>tram4</v>
      </c>
    </row>
    <row r="82" spans="2:7">
      <c r="B82" s="7" t="s">
        <v>245</v>
      </c>
      <c r="C82" s="7" t="s">
        <v>240</v>
      </c>
      <c r="D82" s="7" t="s">
        <v>235</v>
      </c>
      <c r="E82" s="13" t="s">
        <v>280</v>
      </c>
      <c r="G82" s="7" t="str">
        <f t="shared" si="3"/>
        <v>tram5</v>
      </c>
    </row>
    <row r="83" spans="2:7">
      <c r="B83" s="7" t="s">
        <v>248</v>
      </c>
      <c r="C83" s="7" t="s">
        <v>247</v>
      </c>
      <c r="E83" s="13" t="s">
        <v>280</v>
      </c>
      <c r="G83" s="7" t="str">
        <f t="shared" si="3"/>
        <v>thongn</v>
      </c>
    </row>
    <row r="84" spans="2:7">
      <c r="B84" s="7" t="s">
        <v>250</v>
      </c>
      <c r="C84" s="7" t="s">
        <v>251</v>
      </c>
      <c r="D84" s="7" t="s">
        <v>249</v>
      </c>
      <c r="E84" s="13" t="s">
        <v>280</v>
      </c>
      <c r="G84" s="7" t="str">
        <f t="shared" si="3"/>
        <v>csu1</v>
      </c>
    </row>
    <row r="85" spans="2:7">
      <c r="B85" s="7" t="s">
        <v>256</v>
      </c>
      <c r="C85" s="7" t="s">
        <v>269</v>
      </c>
      <c r="D85" s="7" t="s">
        <v>257</v>
      </c>
      <c r="E85" s="13" t="s">
        <v>280</v>
      </c>
      <c r="G85" s="7" t="str">
        <f t="shared" ref="G85" si="4">IF(B85="","",B85)</f>
        <v>csu2</v>
      </c>
    </row>
    <row r="86" spans="2:7">
      <c r="B86" s="7" t="s">
        <v>258</v>
      </c>
      <c r="C86" s="7" t="s">
        <v>270</v>
      </c>
      <c r="D86" s="7" t="s">
        <v>263</v>
      </c>
      <c r="E86" s="13" t="s">
        <v>280</v>
      </c>
      <c r="G86" s="7" t="str">
        <f t="shared" si="3"/>
        <v>csu3</v>
      </c>
    </row>
    <row r="87" spans="2:7">
      <c r="B87" s="7" t="s">
        <v>259</v>
      </c>
      <c r="C87" s="7" t="s">
        <v>271</v>
      </c>
      <c r="D87" s="7" t="s">
        <v>265</v>
      </c>
      <c r="E87" s="13" t="s">
        <v>280</v>
      </c>
      <c r="G87" s="7" t="str">
        <f t="shared" ref="G87:G88" si="5">IF(B87="","",B87)</f>
        <v>csu4</v>
      </c>
    </row>
    <row r="88" spans="2:7">
      <c r="B88" s="7" t="s">
        <v>260</v>
      </c>
      <c r="C88" s="7" t="s">
        <v>272</v>
      </c>
      <c r="D88" s="7" t="s">
        <v>264</v>
      </c>
      <c r="E88" s="13" t="s">
        <v>280</v>
      </c>
      <c r="G88" s="7" t="str">
        <f t="shared" si="5"/>
        <v>csu5</v>
      </c>
    </row>
    <row r="89" spans="2:7">
      <c r="B89" s="7" t="s">
        <v>261</v>
      </c>
      <c r="C89" s="7" t="s">
        <v>273</v>
      </c>
      <c r="D89" s="7" t="s">
        <v>266</v>
      </c>
      <c r="E89" s="13" t="s">
        <v>280</v>
      </c>
      <c r="G89" s="7" t="str">
        <f t="shared" si="3"/>
        <v>csu6</v>
      </c>
    </row>
    <row r="90" spans="2:7">
      <c r="B90" s="7" t="s">
        <v>262</v>
      </c>
      <c r="C90" s="7" t="s">
        <v>274</v>
      </c>
      <c r="D90" s="7" t="s">
        <v>267</v>
      </c>
      <c r="E90" s="13" t="s">
        <v>280</v>
      </c>
      <c r="G90" s="7" t="str">
        <f t="shared" si="3"/>
        <v>csu7</v>
      </c>
    </row>
    <row r="91" spans="2:7">
      <c r="B91" s="7" t="s">
        <v>276</v>
      </c>
      <c r="C91" s="7" t="s">
        <v>275</v>
      </c>
      <c r="D91" s="7" t="s">
        <v>268</v>
      </c>
      <c r="E91" s="13" t="s">
        <v>280</v>
      </c>
      <c r="G91" s="7" t="str">
        <f t="shared" ref="G91:G100" si="6">IF(B91="","",B91)</f>
        <v>csu8</v>
      </c>
    </row>
    <row r="92" spans="2:7">
      <c r="B92" s="7" t="s">
        <v>253</v>
      </c>
      <c r="C92" s="7" t="s">
        <v>252</v>
      </c>
      <c r="E92" s="13" t="s">
        <v>280</v>
      </c>
      <c r="G92" s="7" t="str">
        <f t="shared" si="6"/>
        <v>soi01</v>
      </c>
    </row>
    <row r="93" spans="2:7">
      <c r="B93" s="7" t="s">
        <v>254</v>
      </c>
      <c r="C93" s="7" t="s">
        <v>255</v>
      </c>
      <c r="E93" s="13" t="s">
        <v>280</v>
      </c>
      <c r="G93" s="7" t="str">
        <f t="shared" si="6"/>
        <v>thong22</v>
      </c>
    </row>
    <row r="94" spans="2:7">
      <c r="B94" s="7" t="s">
        <v>279</v>
      </c>
      <c r="C94" s="7" t="s">
        <v>278</v>
      </c>
      <c r="E94" s="13" t="s">
        <v>280</v>
      </c>
      <c r="G94" s="7" t="str">
        <f t="shared" si="6"/>
        <v>phelieu1.1</v>
      </c>
    </row>
    <row r="95" spans="2:7">
      <c r="B95" s="7" t="s">
        <v>320</v>
      </c>
      <c r="C95" s="7" t="s">
        <v>330</v>
      </c>
      <c r="D95" s="7" t="s">
        <v>324</v>
      </c>
      <c r="E95" s="13" t="s">
        <v>196</v>
      </c>
      <c r="G95" s="7" t="str">
        <f t="shared" si="6"/>
        <v>BE-PKBOPN</v>
      </c>
    </row>
    <row r="96" spans="2:7">
      <c r="B96" s="7" t="s">
        <v>321</v>
      </c>
      <c r="C96" s="7" t="s">
        <v>331</v>
      </c>
      <c r="D96" s="7" t="s">
        <v>325</v>
      </c>
      <c r="E96" s="13" t="s">
        <v>196</v>
      </c>
      <c r="G96" s="7" t="str">
        <f t="shared" si="6"/>
        <v>CT-PKBOPN</v>
      </c>
    </row>
    <row r="97" spans="2:7">
      <c r="B97" s="7" t="s">
        <v>322</v>
      </c>
      <c r="C97" s="7" t="s">
        <v>332</v>
      </c>
      <c r="D97" s="7" t="s">
        <v>326</v>
      </c>
      <c r="E97" s="13" t="s">
        <v>196</v>
      </c>
      <c r="G97" s="7" t="str">
        <f t="shared" si="6"/>
        <v>ET-PKBOPN</v>
      </c>
    </row>
    <row r="98" spans="2:7">
      <c r="B98" s="7" t="s">
        <v>323</v>
      </c>
      <c r="C98" s="7" t="s">
        <v>333</v>
      </c>
      <c r="D98" s="7" t="s">
        <v>327</v>
      </c>
      <c r="E98" s="13" t="s">
        <v>196</v>
      </c>
      <c r="G98" s="7" t="str">
        <f t="shared" si="6"/>
        <v>ST-PKBOPN</v>
      </c>
    </row>
    <row r="99" spans="2:7">
      <c r="G99" s="7" t="str">
        <f t="shared" si="6"/>
        <v/>
      </c>
    </row>
    <row r="100" spans="2:7">
      <c r="G100" s="7" t="str">
        <f t="shared" si="6"/>
        <v/>
      </c>
    </row>
    <row r="101" spans="2:7">
      <c r="G101" s="7" t="str">
        <f t="shared" si="3"/>
        <v/>
      </c>
    </row>
    <row r="102" spans="2:7">
      <c r="G102" s="7" t="str">
        <f t="shared" si="3"/>
        <v/>
      </c>
    </row>
    <row r="103" spans="2:7">
      <c r="G103" s="7" t="str">
        <f t="shared" si="3"/>
        <v/>
      </c>
    </row>
    <row r="104" spans="2:7">
      <c r="G104" s="7" t="str">
        <f t="shared" si="3"/>
        <v/>
      </c>
    </row>
    <row r="105" spans="2:7">
      <c r="G105" s="7" t="str">
        <f t="shared" si="3"/>
        <v/>
      </c>
    </row>
    <row r="106" spans="2:7">
      <c r="G106" s="7" t="str">
        <f t="shared" si="3"/>
        <v/>
      </c>
    </row>
    <row r="107" spans="2:7">
      <c r="G107" s="7" t="str">
        <f t="shared" si="3"/>
        <v/>
      </c>
    </row>
    <row r="108" spans="2:7">
      <c r="G108" s="7" t="str">
        <f t="shared" si="3"/>
        <v/>
      </c>
    </row>
    <row r="109" spans="2:7">
      <c r="G109" s="7" t="str">
        <f t="shared" si="3"/>
        <v/>
      </c>
    </row>
    <row r="110" spans="2:7">
      <c r="G110" s="7" t="str">
        <f t="shared" si="3"/>
        <v/>
      </c>
    </row>
    <row r="111" spans="2:7">
      <c r="G111" s="7" t="str">
        <f t="shared" si="3"/>
        <v/>
      </c>
    </row>
    <row r="112" spans="2:7">
      <c r="G112" s="7" t="str">
        <f t="shared" si="3"/>
        <v/>
      </c>
    </row>
    <row r="113" spans="1:7">
      <c r="G113" s="7" t="str">
        <f t="shared" si="3"/>
        <v/>
      </c>
    </row>
    <row r="114" spans="1:7">
      <c r="G114" s="7" t="str">
        <f t="shared" si="3"/>
        <v/>
      </c>
    </row>
    <row r="115" spans="1:7">
      <c r="G115" s="7" t="str">
        <f t="shared" si="3"/>
        <v/>
      </c>
    </row>
    <row r="116" spans="1:7">
      <c r="G116" s="7" t="str">
        <f t="shared" si="3"/>
        <v/>
      </c>
    </row>
    <row r="117" spans="1:7">
      <c r="G117" s="7" t="str">
        <f t="shared" si="3"/>
        <v/>
      </c>
    </row>
    <row r="118" spans="1:7">
      <c r="G118" s="7" t="str">
        <f t="shared" si="3"/>
        <v/>
      </c>
    </row>
    <row r="119" spans="1:7">
      <c r="G119" s="7" t="str">
        <f t="shared" si="3"/>
        <v/>
      </c>
    </row>
    <row r="120" spans="1:7">
      <c r="G120" s="7" t="str">
        <f t="shared" si="3"/>
        <v/>
      </c>
    </row>
    <row r="121" spans="1:7">
      <c r="G121" s="7" t="str">
        <f t="shared" si="3"/>
        <v/>
      </c>
    </row>
    <row r="122" spans="1:7">
      <c r="G122" s="7" t="str">
        <f t="shared" si="3"/>
        <v/>
      </c>
    </row>
    <row r="123" spans="1:7">
      <c r="A123" s="22"/>
      <c r="B123" s="22"/>
      <c r="C123" s="22"/>
      <c r="D123" s="22"/>
      <c r="E123" s="23"/>
      <c r="F123" s="22"/>
      <c r="G123" s="22"/>
    </row>
    <row r="124" spans="1:7">
      <c r="C124" s="7">
        <v>1</v>
      </c>
      <c r="D124" s="7">
        <v>2</v>
      </c>
      <c r="E124" s="7">
        <v>3</v>
      </c>
      <c r="F124" s="7">
        <v>4</v>
      </c>
      <c r="G124" s="7">
        <v>5</v>
      </c>
    </row>
    <row r="125" spans="1:7">
      <c r="D125" s="7">
        <v>1</v>
      </c>
      <c r="E125" s="13">
        <v>2</v>
      </c>
      <c r="F125" s="7">
        <v>3</v>
      </c>
      <c r="G125" s="13">
        <v>4</v>
      </c>
    </row>
    <row r="1048576" spans="2:2">
      <c r="B1048576" s="7" t="s">
        <v>105</v>
      </c>
    </row>
  </sheetData>
  <mergeCells count="1">
    <mergeCell ref="B3:E3"/>
  </mergeCells>
  <hyperlinks>
    <hyperlink ref="A1" location="home!A1" display="Home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36"/>
  <sheetViews>
    <sheetView topLeftCell="A2" workbookViewId="0">
      <selection activeCell="G7" sqref="G7"/>
    </sheetView>
  </sheetViews>
  <sheetFormatPr defaultRowHeight="15.75"/>
  <cols>
    <col min="1" max="1" width="0.875" style="36" customWidth="1"/>
    <col min="2" max="2" width="6.125" style="36" customWidth="1"/>
    <col min="3" max="3" width="12.125" style="36" customWidth="1"/>
    <col min="4" max="4" width="23.5" style="36" customWidth="1"/>
    <col min="5" max="5" width="12.25" style="36" customWidth="1"/>
    <col min="6" max="6" width="8.25" style="36" customWidth="1"/>
    <col min="7" max="7" width="12.5" style="36" customWidth="1"/>
    <col min="8" max="9" width="9" style="36"/>
    <col min="10" max="10" width="7.625" style="36" customWidth="1"/>
    <col min="11" max="16384" width="9" style="36"/>
  </cols>
  <sheetData>
    <row r="1" spans="1:10" ht="18.75">
      <c r="A1" s="46"/>
      <c r="B1" s="47" t="s">
        <v>301</v>
      </c>
      <c r="C1" s="47"/>
    </row>
    <row r="2" spans="1:10" ht="18.75">
      <c r="A2" s="45"/>
      <c r="B2" s="47" t="s">
        <v>302</v>
      </c>
      <c r="C2" s="47"/>
      <c r="I2" s="4" t="s">
        <v>189</v>
      </c>
      <c r="J2" s="36">
        <f>nhapdulieu!A68</f>
        <v>1</v>
      </c>
    </row>
    <row r="3" spans="1:10" ht="18.75">
      <c r="A3" s="45"/>
      <c r="B3" s="47" t="s">
        <v>303</v>
      </c>
      <c r="C3" s="47"/>
    </row>
    <row r="4" spans="1:10" ht="18.75">
      <c r="B4" s="42"/>
      <c r="C4" s="42"/>
    </row>
    <row r="5" spans="1:10" ht="27" customHeight="1">
      <c r="D5" s="43"/>
      <c r="E5" s="44" t="str">
        <f>IF(VLOOKUP(G6,nhapdulieu!$J$15:$R$67,6,0)="X","Phiếu Xuất",IF(VLOOKUP(G6,nhapdulieu!$J$15:$R$67,6,0)="N","Phiếu Nhập"))</f>
        <v>Phiếu Xuất</v>
      </c>
      <c r="F5" s="43"/>
      <c r="G5" s="43"/>
    </row>
    <row r="6" spans="1:10" ht="18.75">
      <c r="F6" s="42" t="s">
        <v>307</v>
      </c>
      <c r="G6" s="36" t="s">
        <v>338</v>
      </c>
    </row>
    <row r="7" spans="1:10" ht="18.75">
      <c r="F7" s="42" t="s">
        <v>310</v>
      </c>
      <c r="G7" s="36" t="str">
        <f>VLOOKUP(B11,nhapdulieu!$A$15:$R$67,18,0)</f>
        <v>a THIÊN</v>
      </c>
    </row>
    <row r="9" spans="1:10">
      <c r="B9" s="51" t="s">
        <v>282</v>
      </c>
      <c r="C9" s="68" t="s">
        <v>9</v>
      </c>
      <c r="D9" s="68" t="s">
        <v>308</v>
      </c>
      <c r="E9" s="68" t="s">
        <v>179</v>
      </c>
      <c r="F9" s="34" t="s">
        <v>12</v>
      </c>
      <c r="G9" s="48" t="s">
        <v>165</v>
      </c>
      <c r="H9" s="68" t="s">
        <v>305</v>
      </c>
    </row>
    <row r="10" spans="1:10">
      <c r="B10" s="51"/>
      <c r="C10" s="69"/>
      <c r="D10" s="69"/>
      <c r="E10" s="69"/>
      <c r="F10" s="34" t="str">
        <f>thekho!H9</f>
        <v>pcs</v>
      </c>
      <c r="G10" s="34" t="s">
        <v>309</v>
      </c>
      <c r="H10" s="69"/>
    </row>
    <row r="11" spans="1:10">
      <c r="B11" s="34">
        <f>IF(ROW(A1)&gt;$J$2," ",ROW(A1))</f>
        <v>1</v>
      </c>
      <c r="C11" s="34" t="str">
        <f>IF(B11="","",VLOOKUP(B11,nhapdulieu!$A$15:$R$67,12,0))</f>
        <v>BE-PKBOPN</v>
      </c>
      <c r="D11" s="34" t="str">
        <f>IF(B11="","",VLOOKUP(B11,nhapdulieu!$A$15:$R$67,13,0))</f>
        <v>CHÂN BÀN GỖ THÔNG.</v>
      </c>
      <c r="E11" s="34" t="str">
        <f>VLOOKUP(B11,nhapdulieu!$A$15:$R$67,14,0)</f>
        <v>65*65*440</v>
      </c>
      <c r="F11" s="34"/>
      <c r="G11" s="34">
        <f>IF(B11="","",VLOOKUP(B11,nhapdulieu!$A$15:$R$67,16,0))</f>
        <v>144</v>
      </c>
      <c r="H11" s="34"/>
    </row>
    <row r="12" spans="1:10">
      <c r="B12" s="34" t="str">
        <f>IF(ROW(A3)&gt;$J$2," ",ROW(A3))</f>
        <v xml:space="preserve"> </v>
      </c>
      <c r="C12" s="34"/>
      <c r="D12" s="34"/>
      <c r="E12" s="34"/>
      <c r="F12" s="34"/>
      <c r="G12" s="34"/>
      <c r="H12" s="34"/>
    </row>
    <row r="13" spans="1:10">
      <c r="B13" s="34" t="str">
        <f>IF(ROW(A13)&gt;$J$2," ",ROW(A13))</f>
        <v xml:space="preserve"> </v>
      </c>
      <c r="C13" s="34"/>
      <c r="D13" s="34"/>
      <c r="E13" s="34"/>
      <c r="F13" s="34"/>
      <c r="G13" s="34"/>
      <c r="H13" s="34"/>
    </row>
    <row r="14" spans="1:10">
      <c r="B14" s="34" t="str">
        <f>IF(ROW(A5)&gt;$J$2," ",ROW(A5))</f>
        <v xml:space="preserve"> </v>
      </c>
      <c r="C14" s="34"/>
      <c r="D14" s="34"/>
      <c r="E14" s="34"/>
      <c r="F14" s="34"/>
      <c r="G14" s="34"/>
      <c r="H14" s="34"/>
    </row>
    <row r="15" spans="1:10">
      <c r="B15" s="34" t="str">
        <f>IF(ROW(A6)&gt;$J$2," ",ROW(A6))</f>
        <v xml:space="preserve"> </v>
      </c>
      <c r="C15" s="34"/>
      <c r="D15" s="34"/>
      <c r="E15" s="34"/>
      <c r="F15" s="34"/>
      <c r="G15" s="34"/>
      <c r="H15" s="34"/>
    </row>
    <row r="16" spans="1:10">
      <c r="B16" s="34" t="str">
        <f>IF(ROW(A7)&gt;$J$2," ",ROW(A7))</f>
        <v xml:space="preserve"> </v>
      </c>
      <c r="C16" s="34"/>
      <c r="D16" s="34"/>
      <c r="E16" s="34"/>
      <c r="F16" s="34"/>
      <c r="G16" s="34"/>
      <c r="H16" s="34"/>
    </row>
    <row r="17" spans="2:8">
      <c r="B17" s="34" t="str">
        <f t="shared" ref="B17:B21" si="0">IF(ROW(A9)&gt;$J$2," ",ROW(A9))</f>
        <v xml:space="preserve"> </v>
      </c>
      <c r="C17" s="34"/>
      <c r="D17" s="34"/>
      <c r="E17" s="34"/>
      <c r="F17" s="34"/>
      <c r="G17" s="34"/>
      <c r="H17" s="34"/>
    </row>
    <row r="18" spans="2:8">
      <c r="B18" s="34" t="str">
        <f t="shared" si="0"/>
        <v xml:space="preserve"> </v>
      </c>
      <c r="C18" s="34"/>
      <c r="D18" s="34"/>
      <c r="E18" s="34"/>
      <c r="F18" s="34"/>
      <c r="G18" s="34"/>
      <c r="H18" s="34"/>
    </row>
    <row r="19" spans="2:8">
      <c r="B19" s="34" t="str">
        <f t="shared" si="0"/>
        <v xml:space="preserve"> </v>
      </c>
      <c r="C19" s="34"/>
      <c r="D19" s="34"/>
      <c r="E19" s="34"/>
      <c r="F19" s="34"/>
      <c r="G19" s="34"/>
      <c r="H19" s="34"/>
    </row>
    <row r="20" spans="2:8">
      <c r="B20" s="34" t="str">
        <f t="shared" si="0"/>
        <v xml:space="preserve"> </v>
      </c>
      <c r="C20" s="34"/>
      <c r="D20" s="34"/>
      <c r="E20" s="34"/>
      <c r="F20" s="34"/>
      <c r="G20" s="34"/>
      <c r="H20" s="34"/>
    </row>
    <row r="21" spans="2:8">
      <c r="B21" s="34" t="str">
        <f t="shared" si="0"/>
        <v xml:space="preserve"> </v>
      </c>
      <c r="C21" s="34"/>
      <c r="D21" s="34"/>
      <c r="E21" s="34"/>
      <c r="F21" s="34"/>
      <c r="G21" s="34"/>
      <c r="H21" s="34"/>
    </row>
    <row r="22" spans="2:8">
      <c r="B22" s="34"/>
      <c r="C22" s="34"/>
      <c r="D22" s="34"/>
      <c r="E22" s="34"/>
      <c r="F22" s="34"/>
      <c r="G22" s="34" t="str">
        <f>IF(B22="","",VLOOKUP(B22,nhapdulieu!$A$15:$R$67,16,0))</f>
        <v/>
      </c>
      <c r="H22" s="34"/>
    </row>
    <row r="23" spans="2:8">
      <c r="B23" s="34"/>
      <c r="C23" s="34"/>
      <c r="D23" s="34"/>
      <c r="E23" s="34"/>
      <c r="F23" s="34"/>
      <c r="G23" s="34" t="str">
        <f>IF(B23="","",VLOOKUP(B23,nhapdulieu!$A$15:$R$67,16,0))</f>
        <v/>
      </c>
      <c r="H23" s="34"/>
    </row>
    <row r="24" spans="2:8">
      <c r="B24" s="34"/>
      <c r="C24" s="34"/>
      <c r="D24" s="34"/>
      <c r="E24" s="34"/>
      <c r="F24" s="34"/>
      <c r="G24" s="34" t="str">
        <f>IF(B24="","",VLOOKUP(B24,nhapdulieu!$A$15:$R$67,16,0))</f>
        <v/>
      </c>
      <c r="H24" s="34"/>
    </row>
    <row r="25" spans="2:8">
      <c r="B25" s="34"/>
      <c r="C25" s="34"/>
      <c r="D25" s="34"/>
      <c r="E25" s="34"/>
      <c r="F25" s="34"/>
      <c r="G25" s="34"/>
      <c r="H25" s="34"/>
    </row>
    <row r="26" spans="2:8">
      <c r="B26" s="34"/>
      <c r="C26" s="34"/>
      <c r="D26" s="34"/>
      <c r="E26" s="34"/>
      <c r="F26" s="34"/>
      <c r="G26" s="34"/>
      <c r="H26" s="34"/>
    </row>
    <row r="28" spans="2:8" ht="17.25">
      <c r="B28" s="70" t="s">
        <v>311</v>
      </c>
      <c r="C28" s="70"/>
      <c r="D28" s="70"/>
      <c r="E28" s="70"/>
      <c r="F28" s="70"/>
      <c r="G28" s="70"/>
    </row>
    <row r="30" spans="2:8">
      <c r="D30" s="36" t="s">
        <v>316</v>
      </c>
      <c r="E30" s="36">
        <f>VLOOKUP(B11,nhapdulieu!$A$15:$R$67,7,0)</f>
        <v>3</v>
      </c>
      <c r="F30" s="36" t="s">
        <v>160</v>
      </c>
      <c r="G30" s="36">
        <f>VLOOKUP(B11,nhapdulieu!$A$15:$R$67,8,0)</f>
        <v>11</v>
      </c>
      <c r="H30" s="36">
        <f>VLOOKUP(B11,nhapdulieu!$A$15:$R$67,9,0)</f>
        <v>2014</v>
      </c>
    </row>
    <row r="32" spans="2:8">
      <c r="B32" s="45" t="s">
        <v>312</v>
      </c>
      <c r="C32" s="45"/>
      <c r="E32" s="36" t="s">
        <v>313</v>
      </c>
      <c r="G32" s="36" t="s">
        <v>315</v>
      </c>
    </row>
    <row r="36" spans="2:3">
      <c r="B36" s="45" t="s">
        <v>314</v>
      </c>
      <c r="C36" s="45"/>
    </row>
  </sheetData>
  <mergeCells count="6">
    <mergeCell ref="H9:H10"/>
    <mergeCell ref="B28:G28"/>
    <mergeCell ref="E9:E10"/>
    <mergeCell ref="D9:D10"/>
    <mergeCell ref="B9:B10"/>
    <mergeCell ref="C9:C10"/>
  </mergeCells>
  <dataValidations count="1">
    <dataValidation type="list" allowBlank="1" showInputMessage="1" showErrorMessage="1" sqref="G6">
      <formula1>sophieu</formula1>
    </dataValidation>
  </dataValidations>
  <hyperlinks>
    <hyperlink ref="I2" location="home!A1" display="home"/>
  </hyperlink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home</vt:lpstr>
      <vt:lpstr>nhapdulieu</vt:lpstr>
      <vt:lpstr>tonkho</vt:lpstr>
      <vt:lpstr>thekho</vt:lpstr>
      <vt:lpstr>danhmuc</vt:lpstr>
      <vt:lpstr>in an</vt:lpstr>
      <vt:lpstr>danhmuc</vt:lpstr>
      <vt:lpstr>sophieu</vt:lpstr>
      <vt:lpstr>TENCHITIET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2014-09-30T23:42:29Z</cp:lastPrinted>
  <dcterms:created xsi:type="dcterms:W3CDTF">2014-10-29T12:22:41Z</dcterms:created>
  <dcterms:modified xsi:type="dcterms:W3CDTF">2003-12-31T19:58:52Z</dcterms:modified>
</cp:coreProperties>
</file>